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activeTab="1"/>
  </bookViews>
  <sheets>
    <sheet name="จำนวนผู้ประกันตน" sheetId="6" r:id="rId1"/>
    <sheet name="จำนวนผู้ประกันตนตามพื้นที่" sheetId="7" r:id="rId2"/>
    <sheet name="การขอรับสิทธิประโยชน์" sheetId="1" r:id="rId3"/>
    <sheet name="การขอรับสิทธิประโยชน์มาตรา 33" sheetId="3" r:id="rId4"/>
    <sheet name="การขอรับสิทธิประโยชน์ (เงิน)" sheetId="9" r:id="rId5"/>
    <sheet name="การขอรับสิทธิประโยชน์ (ชาย)" sheetId="10" r:id="rId6"/>
    <sheet name="การขอรับสิทธิประโยชน์ (หญิง)" sheetId="13" r:id="rId7"/>
    <sheet name="การขอรับสิทธิประโยชน์ (รวม)" sheetId="14" r:id="rId8"/>
    <sheet name="Sheet1" sheetId="15" r:id="rId9"/>
  </sheets>
  <definedNames>
    <definedName name="_xlnm.Print_Area" localSheetId="2">การขอรับสิทธิประโยชน์!$A$1:$J$21</definedName>
    <definedName name="_xlnm.Print_Area" localSheetId="4">'การขอรับสิทธิประโยชน์ (เงิน)'!$A$1:$N$21</definedName>
    <definedName name="_xlnm.Print_Area" localSheetId="5">'การขอรับสิทธิประโยชน์ (ชาย)'!$A$4:$N$18</definedName>
    <definedName name="_xlnm.Print_Area" localSheetId="7">'การขอรับสิทธิประโยชน์ (รวม)'!$A$1:$N$21</definedName>
    <definedName name="_xlnm.Print_Area" localSheetId="6">'การขอรับสิทธิประโยชน์ (หญิง)'!$A$4:$N$18</definedName>
    <definedName name="_xlnm.Print_Area" localSheetId="3">'การขอรับสิทธิประโยชน์มาตรา 33'!$A$1:$S$21</definedName>
    <definedName name="_xlnm.Print_Area" localSheetId="0">จำนวนผู้ประกันตน!$A$1:$Q$23</definedName>
    <definedName name="_xlnm.Print_Area" localSheetId="1">จำนวนผู้ประกันตนตามพื้นที่!$A$1:$O$20</definedName>
  </definedNames>
  <calcPr calcId="144525"/>
</workbook>
</file>

<file path=xl/calcChain.xml><?xml version="1.0" encoding="utf-8"?>
<calcChain xmlns="http://schemas.openxmlformats.org/spreadsheetml/2006/main">
  <c r="I9" i="1" l="1"/>
  <c r="G9" i="10"/>
  <c r="F9" i="14"/>
  <c r="E9" i="14"/>
  <c r="P21" i="14"/>
  <c r="J9" i="14"/>
  <c r="I9" i="14"/>
  <c r="H9" i="14"/>
  <c r="G9" i="14"/>
  <c r="H16" i="1"/>
  <c r="H9" i="1"/>
  <c r="J30" i="9"/>
  <c r="J14" i="9"/>
  <c r="J9" i="9" l="1"/>
  <c r="J16" i="9"/>
  <c r="J13" i="9"/>
  <c r="J12" i="9"/>
  <c r="J11" i="9"/>
  <c r="J10" i="9"/>
  <c r="J16" i="14" l="1"/>
  <c r="J23" i="14"/>
  <c r="J13" i="14"/>
  <c r="J12" i="14"/>
  <c r="J11" i="14"/>
  <c r="J10" i="14"/>
  <c r="J13" i="13"/>
  <c r="J12" i="13"/>
  <c r="J11" i="13"/>
  <c r="J10" i="13"/>
  <c r="J9" i="13"/>
  <c r="J13" i="10"/>
  <c r="J12" i="10"/>
  <c r="J11" i="10"/>
  <c r="J10" i="10"/>
  <c r="J9" i="10"/>
  <c r="I16" i="14" l="1"/>
  <c r="I13" i="14"/>
  <c r="I12" i="14"/>
  <c r="I11" i="14"/>
  <c r="I10" i="14"/>
  <c r="I13" i="13"/>
  <c r="I12" i="13"/>
  <c r="I11" i="13"/>
  <c r="I10" i="13"/>
  <c r="I9" i="13"/>
  <c r="I17" i="10"/>
  <c r="I13" i="10"/>
  <c r="I12" i="10"/>
  <c r="I11" i="10"/>
  <c r="I10" i="10"/>
  <c r="I9" i="10"/>
  <c r="I30" i="9"/>
  <c r="I16" i="9"/>
  <c r="I14" i="9"/>
  <c r="I13" i="9"/>
  <c r="I12" i="9"/>
  <c r="I11" i="9"/>
  <c r="I10" i="9"/>
  <c r="I9" i="9"/>
  <c r="K18" i="6"/>
  <c r="H16" i="14" l="1"/>
  <c r="H13" i="14"/>
  <c r="H12" i="14"/>
  <c r="H11" i="14"/>
  <c r="H10" i="14"/>
  <c r="H13" i="13"/>
  <c r="H12" i="13"/>
  <c r="H11" i="13"/>
  <c r="H10" i="13"/>
  <c r="H9" i="13"/>
  <c r="H12" i="10"/>
  <c r="H11" i="10"/>
  <c r="H10" i="10"/>
  <c r="H9" i="10"/>
  <c r="H14" i="9"/>
  <c r="H16" i="9"/>
  <c r="H13" i="9"/>
  <c r="H10" i="9"/>
  <c r="H11" i="9"/>
  <c r="H12" i="9"/>
  <c r="H9" i="9"/>
  <c r="G9" i="9" l="1"/>
  <c r="F9" i="9"/>
  <c r="G16" i="14"/>
  <c r="G13" i="14"/>
  <c r="G12" i="14"/>
  <c r="G11" i="14"/>
  <c r="G10" i="14"/>
  <c r="G13" i="13"/>
  <c r="G12" i="13"/>
  <c r="G11" i="13"/>
  <c r="G10" i="13"/>
  <c r="G9" i="13"/>
  <c r="G12" i="10"/>
  <c r="G11" i="10"/>
  <c r="G16" i="9"/>
  <c r="G14" i="9"/>
  <c r="G13" i="9"/>
  <c r="G12" i="9"/>
  <c r="G11" i="9"/>
  <c r="G10" i="9"/>
  <c r="H17" i="1" l="1"/>
  <c r="F11" i="14"/>
  <c r="F11" i="13"/>
  <c r="F16" i="14" l="1"/>
  <c r="F13" i="14"/>
  <c r="F12" i="14"/>
  <c r="F10" i="14"/>
  <c r="F13" i="13"/>
  <c r="F12" i="13"/>
  <c r="F10" i="13"/>
  <c r="F9" i="13"/>
  <c r="F13" i="10"/>
  <c r="F12" i="10"/>
  <c r="F11" i="10"/>
  <c r="F10" i="10"/>
  <c r="F9" i="10"/>
  <c r="F30" i="9"/>
  <c r="F16" i="9"/>
  <c r="F14" i="9"/>
  <c r="F13" i="9"/>
  <c r="F12" i="9"/>
  <c r="F11" i="9"/>
  <c r="F10" i="9"/>
  <c r="E16" i="14" l="1"/>
  <c r="E13" i="14"/>
  <c r="E12" i="14"/>
  <c r="E11" i="14"/>
  <c r="E10" i="14"/>
  <c r="E13" i="13"/>
  <c r="E12" i="13"/>
  <c r="E11" i="13"/>
  <c r="E9" i="13"/>
  <c r="E10" i="13"/>
  <c r="E13" i="10"/>
  <c r="E12" i="10"/>
  <c r="E11" i="10"/>
  <c r="E10" i="10"/>
  <c r="E9" i="10"/>
  <c r="E14" i="9"/>
  <c r="D14" i="9"/>
  <c r="E16" i="9"/>
  <c r="E13" i="9"/>
  <c r="E12" i="9"/>
  <c r="E11" i="9"/>
  <c r="E10" i="9"/>
  <c r="E9" i="9"/>
  <c r="D18" i="9"/>
  <c r="B26" i="9" l="1"/>
  <c r="B28" i="9" s="1"/>
  <c r="B24" i="9"/>
  <c r="M18" i="9"/>
  <c r="L18" i="9"/>
  <c r="K18" i="9"/>
  <c r="J18" i="9"/>
  <c r="I18" i="9"/>
  <c r="H18" i="9"/>
  <c r="G18" i="9"/>
  <c r="F18" i="9"/>
  <c r="E18" i="9"/>
  <c r="N17" i="9"/>
  <c r="N16" i="9"/>
  <c r="C16" i="9"/>
  <c r="B16" i="9"/>
  <c r="N15" i="9"/>
  <c r="N14" i="9"/>
  <c r="C14" i="9"/>
  <c r="B14" i="9"/>
  <c r="C13" i="9"/>
  <c r="N13" i="9" s="1"/>
  <c r="B13" i="9"/>
  <c r="C12" i="9"/>
  <c r="B12" i="9"/>
  <c r="N12" i="9" s="1"/>
  <c r="C11" i="9"/>
  <c r="B11" i="9"/>
  <c r="N11" i="9" s="1"/>
  <c r="N10" i="9"/>
  <c r="C10" i="9"/>
  <c r="B10" i="9"/>
  <c r="C9" i="9"/>
  <c r="C18" i="9" s="1"/>
  <c r="B9" i="9"/>
  <c r="N9" i="9" s="1"/>
  <c r="N18" i="9" l="1"/>
  <c r="B18" i="9"/>
  <c r="F18" i="1" l="1"/>
  <c r="D9" i="14"/>
  <c r="D16" i="14" l="1"/>
  <c r="D13" i="14"/>
  <c r="D12" i="14"/>
  <c r="D11" i="14"/>
  <c r="D10" i="14"/>
  <c r="D13" i="13"/>
  <c r="D12" i="13"/>
  <c r="D11" i="13"/>
  <c r="D10" i="13"/>
  <c r="D9" i="13"/>
  <c r="D17" i="10"/>
  <c r="D13" i="10"/>
  <c r="D12" i="10"/>
  <c r="D11" i="10"/>
  <c r="D10" i="10"/>
  <c r="D9" i="10"/>
  <c r="I17" i="1" l="1"/>
  <c r="I13" i="1"/>
  <c r="I12" i="1"/>
  <c r="I11" i="1"/>
  <c r="I10" i="1"/>
  <c r="H13" i="1"/>
  <c r="H12" i="1"/>
  <c r="H11" i="1"/>
  <c r="H10" i="1"/>
  <c r="C16" i="14"/>
  <c r="C13" i="14"/>
  <c r="C12" i="14"/>
  <c r="C11" i="14"/>
  <c r="C10" i="14"/>
  <c r="C9" i="14"/>
  <c r="C13" i="13"/>
  <c r="C12" i="13"/>
  <c r="C11" i="13"/>
  <c r="C10" i="13"/>
  <c r="C9" i="13"/>
  <c r="C13" i="10"/>
  <c r="C12" i="10"/>
  <c r="C11" i="10"/>
  <c r="C10" i="10"/>
  <c r="C9" i="10"/>
  <c r="G18" i="1"/>
  <c r="E18" i="1"/>
  <c r="D18" i="1"/>
  <c r="C18" i="1"/>
  <c r="B18" i="1"/>
  <c r="I18" i="1" l="1"/>
  <c r="H18" i="1"/>
  <c r="I17" i="3"/>
  <c r="I16" i="3"/>
  <c r="I15" i="3"/>
  <c r="H17" i="3"/>
  <c r="H16" i="3"/>
  <c r="H15" i="3"/>
  <c r="B9" i="10" l="1"/>
  <c r="B16" i="14"/>
  <c r="B13" i="14"/>
  <c r="B12" i="14"/>
  <c r="B11" i="14"/>
  <c r="B10" i="14"/>
  <c r="B9" i="14"/>
  <c r="B13" i="13"/>
  <c r="B12" i="13"/>
  <c r="B11" i="13"/>
  <c r="B10" i="13"/>
  <c r="B9" i="13"/>
  <c r="B13" i="10"/>
  <c r="B12" i="10"/>
  <c r="B11" i="10"/>
  <c r="B10" i="10"/>
  <c r="N17" i="7"/>
  <c r="K12" i="6"/>
  <c r="G18" i="6"/>
  <c r="G18" i="3" l="1"/>
  <c r="F18" i="3"/>
  <c r="I18" i="6" l="1"/>
  <c r="E18" i="3" l="1"/>
  <c r="D18" i="3"/>
  <c r="C18" i="3" l="1"/>
  <c r="B18" i="3"/>
  <c r="E18" i="6"/>
  <c r="S12" i="3" l="1"/>
  <c r="R12" i="3"/>
  <c r="G17" i="7"/>
  <c r="C18" i="6"/>
  <c r="Q12" i="3" l="1"/>
  <c r="P12" i="3"/>
  <c r="Q12" i="6"/>
  <c r="O12" i="3" l="1"/>
  <c r="N12" i="3"/>
  <c r="O12" i="6"/>
  <c r="M12" i="3" l="1"/>
  <c r="L12" i="3"/>
  <c r="M12" i="6"/>
  <c r="K12" i="3" l="1"/>
  <c r="J12" i="3"/>
  <c r="O16" i="7" l="1"/>
  <c r="I12" i="3" l="1"/>
  <c r="H12" i="3"/>
  <c r="I12" i="6" l="1"/>
  <c r="G12" i="3" l="1"/>
  <c r="F12" i="3"/>
  <c r="G12" i="6"/>
  <c r="K17" i="7" l="1"/>
  <c r="C17" i="7"/>
  <c r="B17" i="7"/>
  <c r="E12" i="3" l="1"/>
  <c r="D12" i="3"/>
  <c r="E12" i="6" l="1"/>
  <c r="N16" i="14" l="1"/>
  <c r="N15" i="14"/>
  <c r="B14" i="14"/>
  <c r="B18" i="14" s="1"/>
  <c r="M14" i="14"/>
  <c r="M18" i="14" s="1"/>
  <c r="L14" i="14"/>
  <c r="L18" i="14" s="1"/>
  <c r="K14" i="14"/>
  <c r="K18" i="14" s="1"/>
  <c r="J14" i="14"/>
  <c r="J18" i="14" s="1"/>
  <c r="I14" i="14"/>
  <c r="I18" i="14" s="1"/>
  <c r="H14" i="14"/>
  <c r="H18" i="14" s="1"/>
  <c r="G14" i="14"/>
  <c r="G18" i="14" s="1"/>
  <c r="F14" i="14"/>
  <c r="F18" i="14" s="1"/>
  <c r="E14" i="14"/>
  <c r="E18" i="14" s="1"/>
  <c r="D14" i="14"/>
  <c r="D18" i="14" s="1"/>
  <c r="C14" i="14"/>
  <c r="C18" i="14" s="1"/>
  <c r="N12" i="14"/>
  <c r="N10" i="14"/>
  <c r="N12" i="13"/>
  <c r="N11" i="13"/>
  <c r="N10" i="13"/>
  <c r="N17" i="14"/>
  <c r="N13" i="14"/>
  <c r="N11" i="14"/>
  <c r="N9" i="14"/>
  <c r="N17" i="13"/>
  <c r="N13" i="13"/>
  <c r="M18" i="13"/>
  <c r="L18" i="13"/>
  <c r="K18" i="13"/>
  <c r="J18" i="13"/>
  <c r="I18" i="13"/>
  <c r="H18" i="13"/>
  <c r="G18" i="13"/>
  <c r="F18" i="13"/>
  <c r="E18" i="13"/>
  <c r="D18" i="13"/>
  <c r="C18" i="13"/>
  <c r="N17" i="10"/>
  <c r="F18" i="10"/>
  <c r="N14" i="14" l="1"/>
  <c r="N18" i="14" s="1"/>
  <c r="B18" i="13"/>
  <c r="B18" i="10"/>
  <c r="N9" i="13"/>
  <c r="N18" i="13" s="1"/>
  <c r="I18" i="10"/>
  <c r="E18" i="10"/>
  <c r="M18" i="10"/>
  <c r="N12" i="10"/>
  <c r="N11" i="10"/>
  <c r="G18" i="10"/>
  <c r="N9" i="10"/>
  <c r="J18" i="10"/>
  <c r="C18" i="10"/>
  <c r="D18" i="10"/>
  <c r="L18" i="10"/>
  <c r="N10" i="10"/>
  <c r="N13" i="10"/>
  <c r="K18" i="10"/>
  <c r="H18" i="10"/>
  <c r="C12" i="6"/>
  <c r="N18" i="10" l="1"/>
  <c r="O12" i="7"/>
  <c r="O9" i="7" l="1"/>
  <c r="O11" i="7"/>
  <c r="O10" i="7"/>
  <c r="O15" i="7"/>
  <c r="O14" i="7"/>
  <c r="O13" i="7"/>
  <c r="C12" i="3"/>
  <c r="I23" i="3" s="1"/>
  <c r="B12" i="3"/>
  <c r="H23" i="3" s="1"/>
  <c r="O17" i="7"/>
  <c r="I18" i="3" l="1"/>
  <c r="H18" i="3"/>
</calcChain>
</file>

<file path=xl/sharedStrings.xml><?xml version="1.0" encoding="utf-8"?>
<sst xmlns="http://schemas.openxmlformats.org/spreadsheetml/2006/main" count="339" uniqueCount="76">
  <si>
    <t>สำนักงานประกันสังคมจังหวัดอ่างทอง</t>
  </si>
  <si>
    <t>ชื่อกลุ่มสิทธิประโยชน์</t>
  </si>
  <si>
    <t>การเจ็บป่วยหรือประสบอันตราย</t>
  </si>
  <si>
    <t>กรณีคลอดบุตร</t>
  </si>
  <si>
    <t>กรณีทุพพลภาพ</t>
  </si>
  <si>
    <t>กรณีเสียชีวิต</t>
  </si>
  <si>
    <t>กรณีสงเคราะห์บุตร</t>
  </si>
  <si>
    <t>กรณีชราภาพ</t>
  </si>
  <si>
    <t>กรณีว่างงาน</t>
  </si>
  <si>
    <t>รวม</t>
  </si>
  <si>
    <t>หัวข้อ</t>
  </si>
  <si>
    <t>แห่ง</t>
  </si>
  <si>
    <t>คน</t>
  </si>
  <si>
    <t>เมืองอ่างทอง</t>
  </si>
  <si>
    <t>แสวงหา</t>
  </si>
  <si>
    <t>โพธิ์ทอง</t>
  </si>
  <si>
    <t>วิเศษชัยชาญ</t>
  </si>
  <si>
    <t>ป่าโมก</t>
  </si>
  <si>
    <t>ไชโย</t>
  </si>
  <si>
    <t>สามโก้</t>
  </si>
  <si>
    <t>ตารางที่ 1 : จำนวนสถานประกอบการและผู้ประกันตนในจังหวัดอ่างทอง</t>
  </si>
  <si>
    <t>กรณีว่างงานจากการเลิกจ้าง</t>
  </si>
  <si>
    <t>กรณีว่างงานจากการลาออก</t>
  </si>
  <si>
    <t>รวม (ครั้ง)</t>
  </si>
  <si>
    <t>บาท</t>
  </si>
  <si>
    <t xml:space="preserve">ตารางที่ 4 : จำนวนสถานประกอบการและผู้ประกันตนที่ได้รับสิทธิประโยชน์ กรณีว่างงาน (มาตรา 33 ) </t>
  </si>
  <si>
    <r>
      <rPr>
        <b/>
        <sz val="16"/>
        <color theme="1"/>
        <rFont val="TH SarabunPSK"/>
        <family val="2"/>
      </rPr>
      <t xml:space="preserve">หมายเหตุ : </t>
    </r>
    <r>
      <rPr>
        <sz val="16"/>
        <color theme="1"/>
        <rFont val="TH SarabunPSK"/>
        <family val="2"/>
      </rPr>
      <t>การลาออกข้อมูลจากประกันสังคม</t>
    </r>
  </si>
  <si>
    <t>ประกันสังคมมาตรา</t>
  </si>
  <si>
    <t>มาตรา 33</t>
  </si>
  <si>
    <t>มาตรา 39</t>
  </si>
  <si>
    <t>มาตรา 40</t>
  </si>
  <si>
    <t>มาตรา 33 สะสม</t>
  </si>
  <si>
    <t>มาตรา 39 สะสม</t>
  </si>
  <si>
    <t>มาตรา 40 สะสม</t>
  </si>
  <si>
    <t xml:space="preserve">มาตรา 40 </t>
  </si>
  <si>
    <t>ตารางที่ 2 : จำนวนสถานประกอบการและผู้ประกันตนในจังหวัดอ่างทองจำแนกตามพื้นที่</t>
  </si>
  <si>
    <t>จำนวนเงินที่อนุมัติ</t>
  </si>
  <si>
    <t>สะสม (บาท)</t>
  </si>
  <si>
    <t>ผู้ประกันตนชาย</t>
  </si>
  <si>
    <t>สะสม (ครั้ง)</t>
  </si>
  <si>
    <t>ผู้ประกันตนหญิง</t>
  </si>
  <si>
    <t>จำนวนเงิน</t>
  </si>
  <si>
    <t>ที่อนุมัติ (บาท)</t>
  </si>
  <si>
    <t>ชาย (ครั้ง)</t>
  </si>
  <si>
    <t>ผู้ประกันตน</t>
  </si>
  <si>
    <t>หญิง (ครั้ง)</t>
  </si>
  <si>
    <t>สะสม(ครั้ง)</t>
  </si>
  <si>
    <t>ยอดรวม</t>
  </si>
  <si>
    <t>แบบจัดเก็บข้อมูลสำคัญด้านแรงงานจังหวัดอ่างทอง</t>
  </si>
  <si>
    <t>ข้อมูลจาก : สำนักงานประกันสังคมจังหวัดอ่างทอง</t>
  </si>
  <si>
    <t>ยอดสะสม</t>
  </si>
  <si>
    <t>ตารางที่ 3 : จำนวนผู้ประกันตน/เงิน ที่ได้รับสิทธิประโยชน์ จำแนกตามประเภทสิทธิประโยชน์</t>
  </si>
  <si>
    <t>กรณีว่างงานจากการสิ้นสุดสัญญาจ้าง</t>
  </si>
  <si>
    <t xml:space="preserve"> - บำเหน็จ</t>
  </si>
  <si>
    <t xml:space="preserve"> - บำนาญ</t>
  </si>
  <si>
    <t>(ครั้ง)</t>
  </si>
  <si>
    <t>พท.อำเภออื่น ๆ</t>
  </si>
  <si>
    <t>ประจำปีงบประมาณ 2566</t>
  </si>
  <si>
    <t>ประจำเดือนตุลาคม พ.ศ. 2565 - กันยายน พ.ศ.2566</t>
  </si>
  <si>
    <t>(บาท)</t>
  </si>
  <si>
    <t>=+ กรณีทันตกรรมไม่มีข้อมูลแยกชาย+หญิง มีแต่ผลรวม</t>
  </si>
  <si>
    <t>ประจำเดือน มิถุนายน พ.ศ. 2566</t>
  </si>
  <si>
    <t>ทันตกรรม</t>
  </si>
  <si>
    <t>ก.พ.</t>
  </si>
  <si>
    <t>มี.ค.</t>
  </si>
  <si>
    <t>ม.ค.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</si>
  <si>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</si>
  <si>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</si>
  <si>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</si>
  <si>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</si>
  <si>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</si>
  <si>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</si>
  <si>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</si>
  <si>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 xml:space="preserve">พ.ย. </t>
  </si>
  <si>
    <t>ธ.ค.</t>
  </si>
  <si>
    <t>ประจำเดือนมิถุนายน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</si>
</sst>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rgb="FFFF0000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1"/>
      <color theme="0" tint="-0.14999847407452621"/>
      <name val="Tahoma"/>
      <family val="2"/>
      <charset val="222"/>
      <scheme val="minor"/>
    </font>
    <font>
      <b/>
      <sz val="11"/>
      <color theme="0" tint="-0.1499984740745262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1"/>
      <color theme="0" tint="-0.249977111117893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1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ahoma"/>
      <family val="2"/>
      <charset val="222"/>
      <scheme val="minor"/>
    </font>
    <font>
      <b/>
      <sz val="13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9" xfId="0" applyFont="1" applyBorder="1"/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Border="1"/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5" fillId="0" borderId="0" xfId="0" applyFont="1"/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6" fillId="0" borderId="0" xfId="0" applyFont="1"/>
    <xf numFmtId="4" fontId="5" fillId="0" borderId="9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0" fillId="0" borderId="0" xfId="0" applyFont="1"/>
    <xf numFmtId="17" fontId="3" fillId="0" borderId="0" xfId="0" applyNumberFormat="1" applyFont="1" applyAlignment="1">
      <alignment horizontal="center" vertical="center"/>
    </xf>
    <xf numFmtId="3" fontId="1" fillId="0" borderId="9" xfId="0" applyNumberFormat="1" applyFont="1" applyBorder="1"/>
    <xf numFmtId="3" fontId="1" fillId="0" borderId="2" xfId="0" applyNumberFormat="1" applyFont="1" applyBorder="1"/>
    <xf numFmtId="3" fontId="1" fillId="0" borderId="14" xfId="0" applyNumberFormat="1" applyFont="1" applyBorder="1"/>
    <xf numFmtId="0" fontId="1" fillId="0" borderId="10" xfId="0" quotePrefix="1" applyFont="1" applyBorder="1"/>
    <xf numFmtId="3" fontId="1" fillId="0" borderId="10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2" fillId="0" borderId="6" xfId="0" applyFont="1" applyBorder="1" applyAlignment="1">
      <alignment horizontal="center"/>
    </xf>
    <xf numFmtId="3" fontId="1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/>
    <xf numFmtId="3" fontId="12" fillId="0" borderId="0" xfId="0" applyNumberFormat="1" applyFont="1"/>
    <xf numFmtId="4" fontId="12" fillId="0" borderId="0" xfId="0" applyNumberFormat="1" applyFont="1"/>
    <xf numFmtId="3" fontId="1" fillId="0" borderId="16" xfId="0" applyNumberFormat="1" applyFont="1" applyBorder="1"/>
    <xf numFmtId="3" fontId="2" fillId="0" borderId="16" xfId="0" applyNumberFormat="1" applyFont="1" applyBorder="1"/>
    <xf numFmtId="3" fontId="2" fillId="0" borderId="10" xfId="0" applyNumberFormat="1" applyFont="1" applyBorder="1"/>
    <xf numFmtId="3" fontId="2" fillId="0" borderId="1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4" fontId="5" fillId="0" borderId="13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17" fontId="2" fillId="0" borderId="7" xfId="0" applyNumberFormat="1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shrinkToFit="1"/>
    </xf>
    <xf numFmtId="4" fontId="1" fillId="0" borderId="9" xfId="0" applyNumberFormat="1" applyFont="1" applyBorder="1"/>
    <xf numFmtId="4" fontId="1" fillId="0" borderId="7" xfId="0" applyNumberFormat="1" applyFont="1" applyBorder="1"/>
    <xf numFmtId="4" fontId="2" fillId="0" borderId="7" xfId="0" applyNumberFormat="1" applyFont="1" applyBorder="1"/>
    <xf numFmtId="0" fontId="0" fillId="0" borderId="0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1" fillId="0" borderId="10" xfId="0" applyNumberFormat="1" applyFont="1" applyBorder="1"/>
    <xf numFmtId="4" fontId="1" fillId="0" borderId="3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9" fillId="0" borderId="0" xfId="0" applyNumberFormat="1" applyFont="1"/>
    <xf numFmtId="4" fontId="0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" fillId="0" borderId="9" xfId="0" applyNumberFormat="1" applyFont="1" applyFill="1" applyBorder="1"/>
    <xf numFmtId="4" fontId="1" fillId="0" borderId="2" xfId="0" applyNumberFormat="1" applyFont="1" applyFill="1" applyBorder="1"/>
    <xf numFmtId="4" fontId="1" fillId="0" borderId="10" xfId="0" applyNumberFormat="1" applyFont="1" applyFill="1" applyBorder="1"/>
    <xf numFmtId="4" fontId="1" fillId="0" borderId="3" xfId="0" applyNumberFormat="1" applyFont="1" applyFill="1" applyBorder="1"/>
    <xf numFmtId="4" fontId="1" fillId="0" borderId="1" xfId="0" applyNumberFormat="1" applyFont="1" applyFill="1" applyBorder="1"/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shrinkToFit="1"/>
    </xf>
    <xf numFmtId="0" fontId="17" fillId="0" borderId="9" xfId="0" applyFont="1" applyFill="1" applyBorder="1"/>
    <xf numFmtId="4" fontId="17" fillId="0" borderId="9" xfId="0" applyNumberFormat="1" applyFont="1" applyFill="1" applyBorder="1"/>
    <xf numFmtId="0" fontId="17" fillId="0" borderId="2" xfId="0" applyFont="1" applyFill="1" applyBorder="1"/>
    <xf numFmtId="4" fontId="17" fillId="0" borderId="2" xfId="0" applyNumberFormat="1" applyFont="1" applyFill="1" applyBorder="1"/>
    <xf numFmtId="0" fontId="17" fillId="0" borderId="10" xfId="0" quotePrefix="1" applyFont="1" applyFill="1" applyBorder="1"/>
    <xf numFmtId="4" fontId="17" fillId="0" borderId="10" xfId="0" applyNumberFormat="1" applyFont="1" applyFill="1" applyBorder="1"/>
    <xf numFmtId="0" fontId="17" fillId="0" borderId="3" xfId="0" applyFont="1" applyFill="1" applyBorder="1"/>
    <xf numFmtId="4" fontId="17" fillId="0" borderId="3" xfId="0" applyNumberFormat="1" applyFont="1" applyFill="1" applyBorder="1"/>
    <xf numFmtId="0" fontId="17" fillId="0" borderId="1" xfId="0" applyFont="1" applyFill="1" applyBorder="1" applyAlignment="1">
      <alignment horizontal="right"/>
    </xf>
    <xf numFmtId="4" fontId="17" fillId="0" borderId="1" xfId="0" applyNumberFormat="1" applyFont="1" applyFill="1" applyBorder="1"/>
    <xf numFmtId="0" fontId="18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shrinkToFi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7" fillId="0" borderId="9" xfId="0" applyNumberFormat="1" applyFont="1" applyFill="1" applyBorder="1"/>
    <xf numFmtId="3" fontId="17" fillId="0" borderId="2" xfId="0" applyNumberFormat="1" applyFont="1" applyFill="1" applyBorder="1"/>
    <xf numFmtId="3" fontId="17" fillId="0" borderId="10" xfId="0" applyNumberFormat="1" applyFont="1" applyFill="1" applyBorder="1"/>
    <xf numFmtId="3" fontId="17" fillId="0" borderId="3" xfId="0" applyNumberFormat="1" applyFont="1" applyFill="1" applyBorder="1"/>
    <xf numFmtId="3" fontId="17" fillId="0" borderId="1" xfId="0" applyNumberFormat="1" applyFont="1" applyFill="1" applyBorder="1"/>
    <xf numFmtId="0" fontId="20" fillId="0" borderId="0" xfId="0" applyFont="1"/>
    <xf numFmtId="3" fontId="17" fillId="0" borderId="8" xfId="0" applyNumberFormat="1" applyFont="1" applyFill="1" applyBorder="1"/>
    <xf numFmtId="3" fontId="17" fillId="0" borderId="14" xfId="0" applyNumberFormat="1" applyFont="1" applyFill="1" applyBorder="1"/>
    <xf numFmtId="0" fontId="2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3" fontId="1" fillId="0" borderId="9" xfId="0" applyNumberFormat="1" applyFont="1" applyFill="1" applyBorder="1"/>
    <xf numFmtId="3" fontId="1" fillId="0" borderId="8" xfId="0" applyNumberFormat="1" applyFont="1" applyFill="1" applyBorder="1"/>
    <xf numFmtId="3" fontId="1" fillId="0" borderId="10" xfId="0" applyNumberFormat="1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1" xfId="0" applyNumberFormat="1" applyFont="1" applyFill="1" applyBorder="1"/>
    <xf numFmtId="43" fontId="23" fillId="0" borderId="0" xfId="1" applyFont="1"/>
    <xf numFmtId="3" fontId="0" fillId="0" borderId="0" xfId="0" applyNumberFormat="1" applyFont="1"/>
    <xf numFmtId="43" fontId="15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9" xfId="0" applyFont="1" applyFill="1" applyBorder="1" applyAlignment="1">
      <alignment horizontal="center" shrinkToFit="1"/>
    </xf>
    <xf numFmtId="0" fontId="4" fillId="0" borderId="0" xfId="0" applyFont="1" applyBorder="1"/>
    <xf numFmtId="17" fontId="2" fillId="0" borderId="4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19" xfId="0" quotePrefix="1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7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13</xdr:row>
      <xdr:rowOff>161925</xdr:rowOff>
    </xdr:from>
    <xdr:to>
      <xdr:col>14</xdr:col>
      <xdr:colOff>0</xdr:colOff>
      <xdr:row>13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14363700" y="3676650"/>
          <a:ext cx="807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14</xdr:row>
      <xdr:rowOff>152400</xdr:rowOff>
    </xdr:from>
    <xdr:to>
      <xdr:col>14</xdr:col>
      <xdr:colOff>0</xdr:colOff>
      <xdr:row>14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>
          <a:off x="14363700" y="3971925"/>
          <a:ext cx="809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15</xdr:row>
      <xdr:rowOff>152400</xdr:rowOff>
    </xdr:from>
    <xdr:to>
      <xdr:col>14</xdr:col>
      <xdr:colOff>0</xdr:colOff>
      <xdr:row>15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>
          <a:off x="14363700" y="4276725"/>
          <a:ext cx="807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13</xdr:row>
      <xdr:rowOff>161925</xdr:rowOff>
    </xdr:from>
    <xdr:to>
      <xdr:col>14</xdr:col>
      <xdr:colOff>0</xdr:colOff>
      <xdr:row>13</xdr:row>
      <xdr:rowOff>161925</xdr:rowOff>
    </xdr:to>
    <xdr:cxnSp macro="">
      <xdr:nvCxnSpPr>
        <xdr:cNvPr id="2" name="ลูกศรเชื่อมต่อแบบตรง 1"/>
        <xdr:cNvCxnSpPr/>
      </xdr:nvCxnSpPr>
      <xdr:spPr>
        <a:xfrm>
          <a:off x="1828800" y="3676650"/>
          <a:ext cx="11506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14</xdr:row>
      <xdr:rowOff>152400</xdr:rowOff>
    </xdr:from>
    <xdr:to>
      <xdr:col>14</xdr:col>
      <xdr:colOff>0</xdr:colOff>
      <xdr:row>14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>
          <a:off x="1847850" y="3971925"/>
          <a:ext cx="114871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15</xdr:row>
      <xdr:rowOff>152400</xdr:rowOff>
    </xdr:from>
    <xdr:to>
      <xdr:col>14</xdr:col>
      <xdr:colOff>0</xdr:colOff>
      <xdr:row>15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>
          <a:off x="1828800" y="4276725"/>
          <a:ext cx="11506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C18" sqref="C18"/>
    </sheetView>
  </sheetViews>
  <sheetFormatPr defaultRowHeight="14.25"/>
  <cols>
    <col min="1" max="1" width="17.125" customWidth="1"/>
    <col min="2" max="2" width="6.875" customWidth="1"/>
    <col min="3" max="3" width="8.25" customWidth="1"/>
    <col min="4" max="4" width="6.875" customWidth="1"/>
    <col min="5" max="5" width="8" customWidth="1"/>
    <col min="6" max="6" width="6.875" customWidth="1"/>
    <col min="7" max="7" width="7.5" customWidth="1"/>
    <col min="8" max="8" width="6.875" customWidth="1"/>
    <col min="9" max="9" width="8.125" customWidth="1"/>
    <col min="10" max="10" width="6.875" customWidth="1"/>
    <col min="11" max="11" width="8" customWidth="1"/>
    <col min="12" max="12" width="6.875" customWidth="1"/>
    <col min="13" max="13" width="9.25" customWidth="1"/>
    <col min="14" max="14" width="6.875" customWidth="1"/>
    <col min="15" max="15" width="8.5" customWidth="1"/>
    <col min="16" max="16" width="6.875" customWidth="1"/>
    <col min="17" max="17" width="7.75" customWidth="1"/>
  </cols>
  <sheetData>
    <row r="1" spans="1:17" ht="21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1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21" customHeight="1">
      <c r="A3" s="159" t="s">
        <v>57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5.75" customHeight="1">
      <c r="A4" s="160"/>
      <c r="B4" s="160"/>
      <c r="C4" s="160"/>
      <c r="D4" s="160"/>
      <c r="E4" s="160"/>
      <c r="F4" s="160"/>
      <c r="G4" s="160"/>
      <c r="H4" s="9"/>
      <c r="I4" s="9"/>
    </row>
    <row r="5" spans="1:17" ht="21">
      <c r="A5" s="155" t="s">
        <v>20</v>
      </c>
      <c r="B5" s="155"/>
      <c r="C5" s="155"/>
      <c r="D5" s="155"/>
      <c r="E5" s="155"/>
      <c r="F5" s="155"/>
      <c r="G5" s="155"/>
      <c r="H5" s="155"/>
      <c r="I5" s="155"/>
    </row>
    <row r="6" spans="1:17" ht="16.5" customHeight="1">
      <c r="A6" s="9"/>
      <c r="B6" s="9"/>
      <c r="C6" s="9"/>
      <c r="D6" s="9"/>
      <c r="E6" s="9"/>
      <c r="F6" s="9"/>
      <c r="G6" s="9"/>
      <c r="H6" s="9"/>
      <c r="I6" s="9"/>
    </row>
    <row r="7" spans="1:17" ht="21">
      <c r="A7" s="156" t="s">
        <v>27</v>
      </c>
      <c r="B7" s="153">
        <v>24016</v>
      </c>
      <c r="C7" s="154"/>
      <c r="D7" s="153">
        <v>24047</v>
      </c>
      <c r="E7" s="154"/>
      <c r="F7" s="153">
        <v>24077</v>
      </c>
      <c r="G7" s="154"/>
      <c r="H7" s="153">
        <v>24108</v>
      </c>
      <c r="I7" s="154"/>
      <c r="J7" s="153">
        <v>24139</v>
      </c>
      <c r="K7" s="154"/>
      <c r="L7" s="153">
        <v>24167</v>
      </c>
      <c r="M7" s="154"/>
      <c r="N7" s="153">
        <v>24198</v>
      </c>
      <c r="O7" s="154"/>
      <c r="P7" s="153">
        <v>24228</v>
      </c>
      <c r="Q7" s="154"/>
    </row>
    <row r="8" spans="1:17" ht="18.75">
      <c r="A8" s="157"/>
      <c r="B8" s="8" t="s">
        <v>11</v>
      </c>
      <c r="C8" s="8" t="s">
        <v>12</v>
      </c>
      <c r="D8" s="8" t="s">
        <v>11</v>
      </c>
      <c r="E8" s="8" t="s">
        <v>12</v>
      </c>
      <c r="F8" s="8" t="s">
        <v>11</v>
      </c>
      <c r="G8" s="8" t="s">
        <v>12</v>
      </c>
      <c r="H8" s="8" t="s">
        <v>11</v>
      </c>
      <c r="I8" s="8" t="s">
        <v>12</v>
      </c>
      <c r="J8" s="8" t="s">
        <v>11</v>
      </c>
      <c r="K8" s="8" t="s">
        <v>12</v>
      </c>
      <c r="L8" s="8" t="s">
        <v>11</v>
      </c>
      <c r="M8" s="8" t="s">
        <v>12</v>
      </c>
      <c r="N8" s="8" t="s">
        <v>11</v>
      </c>
      <c r="O8" s="8" t="s">
        <v>12</v>
      </c>
      <c r="P8" s="8" t="s">
        <v>11</v>
      </c>
      <c r="Q8" s="8" t="s">
        <v>12</v>
      </c>
    </row>
    <row r="9" spans="1:17" ht="19.5" customHeight="1">
      <c r="A9" s="11" t="s">
        <v>28</v>
      </c>
      <c r="B9" s="18">
        <v>1232</v>
      </c>
      <c r="C9" s="18">
        <v>13877</v>
      </c>
      <c r="D9" s="18">
        <v>1236</v>
      </c>
      <c r="E9" s="18">
        <v>14007</v>
      </c>
      <c r="F9" s="18">
        <v>1234</v>
      </c>
      <c r="G9" s="18">
        <v>14190</v>
      </c>
      <c r="H9" s="18">
        <v>1258</v>
      </c>
      <c r="I9" s="18">
        <v>14382</v>
      </c>
      <c r="J9" s="18">
        <v>1272</v>
      </c>
      <c r="K9" s="18">
        <v>14532</v>
      </c>
      <c r="L9" s="18">
        <v>1268</v>
      </c>
      <c r="M9" s="18">
        <v>14422</v>
      </c>
      <c r="N9" s="18">
        <v>1266</v>
      </c>
      <c r="O9" s="18">
        <v>14415</v>
      </c>
      <c r="P9" s="18">
        <v>1270</v>
      </c>
      <c r="Q9" s="18">
        <v>14370</v>
      </c>
    </row>
    <row r="10" spans="1:17" ht="23.25" customHeight="1">
      <c r="A10" s="13" t="s">
        <v>29</v>
      </c>
      <c r="B10" s="19"/>
      <c r="C10" s="19">
        <v>5679</v>
      </c>
      <c r="D10" s="19"/>
      <c r="E10" s="19">
        <v>5645</v>
      </c>
      <c r="F10" s="19"/>
      <c r="G10" s="19">
        <v>5596</v>
      </c>
      <c r="H10" s="19"/>
      <c r="I10" s="19">
        <v>5572</v>
      </c>
      <c r="J10" s="19"/>
      <c r="K10" s="19">
        <v>5522</v>
      </c>
      <c r="L10" s="19"/>
      <c r="M10" s="19">
        <v>5501</v>
      </c>
      <c r="N10" s="19"/>
      <c r="O10" s="19">
        <v>5463</v>
      </c>
      <c r="P10" s="19"/>
      <c r="Q10" s="19">
        <v>5439</v>
      </c>
    </row>
    <row r="11" spans="1:17" ht="20.25" customHeight="1">
      <c r="A11" s="13" t="s">
        <v>30</v>
      </c>
      <c r="B11" s="19"/>
      <c r="C11" s="19">
        <v>83632</v>
      </c>
      <c r="D11" s="19"/>
      <c r="E11" s="19">
        <v>83658</v>
      </c>
      <c r="F11" s="19"/>
      <c r="G11" s="19">
        <v>83699</v>
      </c>
      <c r="H11" s="19"/>
      <c r="I11" s="19">
        <v>83739</v>
      </c>
      <c r="J11" s="19"/>
      <c r="K11" s="19">
        <v>83784</v>
      </c>
      <c r="L11" s="19"/>
      <c r="M11" s="19">
        <v>83828</v>
      </c>
      <c r="N11" s="19"/>
      <c r="O11" s="19">
        <v>83870</v>
      </c>
      <c r="P11" s="19"/>
      <c r="Q11" s="19">
        <v>83893</v>
      </c>
    </row>
    <row r="12" spans="1:17" ht="20.25" customHeight="1">
      <c r="A12" s="10" t="s">
        <v>9</v>
      </c>
      <c r="B12" s="20"/>
      <c r="C12" s="20">
        <f>SUM(C9:C11)</f>
        <v>103188</v>
      </c>
      <c r="D12" s="20"/>
      <c r="E12" s="20">
        <f>SUM(E9:E11)</f>
        <v>103310</v>
      </c>
      <c r="F12" s="20"/>
      <c r="G12" s="20">
        <f>SUM(G9:G11)</f>
        <v>103485</v>
      </c>
      <c r="H12" s="20"/>
      <c r="I12" s="20">
        <f>SUM(I9:I11)</f>
        <v>103693</v>
      </c>
      <c r="J12" s="20"/>
      <c r="K12" s="20">
        <f>SUM(K9:K11)</f>
        <v>103838</v>
      </c>
      <c r="L12" s="20"/>
      <c r="M12" s="20">
        <f>SUM(M9:M11)</f>
        <v>103751</v>
      </c>
      <c r="N12" s="20"/>
      <c r="O12" s="20">
        <f>SUM(O9:O11)</f>
        <v>103748</v>
      </c>
      <c r="P12" s="20"/>
      <c r="Q12" s="20">
        <f>SUM(Q9:Q11)</f>
        <v>103702</v>
      </c>
    </row>
    <row r="13" spans="1:17" ht="18.75" customHeight="1">
      <c r="A13" s="156" t="s">
        <v>27</v>
      </c>
      <c r="B13" s="153">
        <v>24259</v>
      </c>
      <c r="C13" s="154"/>
      <c r="D13" s="153">
        <v>24289</v>
      </c>
      <c r="E13" s="154"/>
      <c r="F13" s="153">
        <v>24320</v>
      </c>
      <c r="G13" s="154"/>
      <c r="H13" s="153">
        <v>24351</v>
      </c>
      <c r="I13" s="154"/>
      <c r="J13" s="153" t="s">
        <v>50</v>
      </c>
      <c r="K13" s="154"/>
    </row>
    <row r="14" spans="1:17" ht="18.75" customHeight="1">
      <c r="A14" s="157"/>
      <c r="B14" s="8" t="s">
        <v>11</v>
      </c>
      <c r="C14" s="8" t="s">
        <v>12</v>
      </c>
      <c r="D14" s="8" t="s">
        <v>11</v>
      </c>
      <c r="E14" s="8" t="s">
        <v>12</v>
      </c>
      <c r="F14" s="8" t="s">
        <v>11</v>
      </c>
      <c r="G14" s="8" t="s">
        <v>12</v>
      </c>
      <c r="H14" s="8" t="s">
        <v>11</v>
      </c>
      <c r="I14" s="8" t="s">
        <v>12</v>
      </c>
      <c r="J14" s="8" t="s">
        <v>11</v>
      </c>
      <c r="K14" s="8" t="s">
        <v>12</v>
      </c>
    </row>
    <row r="15" spans="1:17" ht="21">
      <c r="A15" s="11" t="s">
        <v>28</v>
      </c>
      <c r="B15" s="18">
        <v>1275</v>
      </c>
      <c r="C15" s="18">
        <v>14466</v>
      </c>
      <c r="D15" s="18"/>
      <c r="E15" s="18"/>
      <c r="F15" s="18"/>
      <c r="G15" s="18"/>
      <c r="H15" s="18"/>
      <c r="I15" s="18"/>
      <c r="J15" s="18">
        <v>1270</v>
      </c>
      <c r="K15" s="18">
        <v>14370</v>
      </c>
    </row>
    <row r="16" spans="1:17" ht="21">
      <c r="A16" s="13" t="s">
        <v>29</v>
      </c>
      <c r="B16" s="19"/>
      <c r="C16" s="19">
        <v>5411</v>
      </c>
      <c r="D16" s="6"/>
      <c r="E16" s="19"/>
      <c r="F16" s="19"/>
      <c r="G16" s="19"/>
      <c r="H16" s="19"/>
      <c r="I16" s="19"/>
      <c r="J16" s="19"/>
      <c r="K16" s="19">
        <v>5439</v>
      </c>
    </row>
    <row r="17" spans="1:11" ht="21">
      <c r="A17" s="13" t="s">
        <v>30</v>
      </c>
      <c r="B17" s="19"/>
      <c r="C17" s="19">
        <v>83931</v>
      </c>
      <c r="D17" s="6"/>
      <c r="E17" s="19"/>
      <c r="F17" s="19"/>
      <c r="G17" s="19"/>
      <c r="H17" s="19"/>
      <c r="I17" s="19"/>
      <c r="J17" s="19"/>
      <c r="K17" s="19">
        <v>83893</v>
      </c>
    </row>
    <row r="18" spans="1:11" ht="21">
      <c r="A18" s="10" t="s">
        <v>9</v>
      </c>
      <c r="B18" s="20"/>
      <c r="C18" s="20">
        <f>SUM(C15:C17)</f>
        <v>103808</v>
      </c>
      <c r="D18" s="7"/>
      <c r="E18" s="20">
        <f>SUM(E15:E17)</f>
        <v>0</v>
      </c>
      <c r="F18" s="20"/>
      <c r="G18" s="20">
        <f>SUM(G15:G17)</f>
        <v>0</v>
      </c>
      <c r="H18" s="20"/>
      <c r="I18" s="20">
        <f>SUM(I15:I17)</f>
        <v>0</v>
      </c>
      <c r="J18" s="20"/>
      <c r="K18" s="20">
        <f>SUM(K15:K17)</f>
        <v>103702</v>
      </c>
    </row>
    <row r="19" spans="1:11" ht="7.5" customHeight="1"/>
    <row r="20" spans="1:11" ht="21" hidden="1" customHeight="1">
      <c r="A20" s="12" t="s">
        <v>26</v>
      </c>
    </row>
    <row r="23" spans="1:11" ht="18.75">
      <c r="A23" s="17" t="s">
        <v>49</v>
      </c>
    </row>
  </sheetData>
  <mergeCells count="20">
    <mergeCell ref="A5:I5"/>
    <mergeCell ref="A7:A8"/>
    <mergeCell ref="A13:A14"/>
    <mergeCell ref="A1:Q1"/>
    <mergeCell ref="B13:C13"/>
    <mergeCell ref="D13:E13"/>
    <mergeCell ref="F13:G13"/>
    <mergeCell ref="H13:I13"/>
    <mergeCell ref="J13:K13"/>
    <mergeCell ref="A2:Q2"/>
    <mergeCell ref="A3:Q3"/>
    <mergeCell ref="A4:G4"/>
    <mergeCell ref="L7:M7"/>
    <mergeCell ref="N7:O7"/>
    <mergeCell ref="J7:K7"/>
    <mergeCell ref="P7:Q7"/>
    <mergeCell ref="B7:C7"/>
    <mergeCell ref="D7:E7"/>
    <mergeCell ref="F7:G7"/>
    <mergeCell ref="H7:I7"/>
  </mergeCells>
  <printOptions horizontalCentered="1"/>
  <pageMargins left="0.25" right="0.25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Q4" sqref="Q4"/>
    </sheetView>
  </sheetViews>
  <sheetFormatPr defaultRowHeight="14.25"/>
  <cols>
    <col min="1" max="1" width="23.875" customWidth="1"/>
    <col min="2" max="10" width="6.875" customWidth="1"/>
    <col min="11" max="11" width="8.125" customWidth="1"/>
    <col min="12" max="14" width="6.875" customWidth="1"/>
    <col min="15" max="15" width="10.375" customWidth="1"/>
  </cols>
  <sheetData>
    <row r="1" spans="1:15" ht="21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21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21" customHeight="1">
      <c r="A3" s="159" t="s">
        <v>75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4" spans="1:15" ht="16.5" customHeight="1">
      <c r="A4" s="160"/>
      <c r="B4" s="160"/>
      <c r="C4" s="160"/>
      <c r="D4" s="160"/>
      <c r="E4" s="160"/>
      <c r="F4" s="160"/>
      <c r="G4" s="160"/>
      <c r="H4" s="9"/>
      <c r="I4" s="9"/>
    </row>
    <row r="5" spans="1:15" ht="21">
      <c r="A5" s="155" t="s">
        <v>35</v>
      </c>
      <c r="B5" s="155"/>
      <c r="C5" s="155"/>
      <c r="D5" s="155"/>
      <c r="E5" s="155"/>
      <c r="F5" s="155"/>
      <c r="G5" s="155"/>
      <c r="H5" s="155"/>
      <c r="I5" s="155"/>
      <c r="K5" s="161"/>
      <c r="L5" s="161"/>
      <c r="M5" s="161"/>
      <c r="N5" s="161"/>
      <c r="O5" s="161"/>
    </row>
    <row r="6" spans="1:15" ht="16.5" customHeight="1">
      <c r="A6" s="9"/>
      <c r="B6" s="9"/>
      <c r="C6" s="9"/>
      <c r="D6" s="9"/>
      <c r="E6" s="9"/>
      <c r="F6" s="9"/>
      <c r="G6" s="9"/>
      <c r="H6" s="9"/>
      <c r="I6" s="9"/>
    </row>
    <row r="7" spans="1:15" ht="21">
      <c r="A7" s="156" t="s">
        <v>27</v>
      </c>
      <c r="B7" s="153" t="s">
        <v>28</v>
      </c>
      <c r="C7" s="154"/>
      <c r="D7" s="153" t="s">
        <v>31</v>
      </c>
      <c r="E7" s="154"/>
      <c r="F7" s="153" t="s">
        <v>29</v>
      </c>
      <c r="G7" s="154"/>
      <c r="H7" s="153" t="s">
        <v>32</v>
      </c>
      <c r="I7" s="154"/>
      <c r="J7" s="153" t="s">
        <v>34</v>
      </c>
      <c r="K7" s="154"/>
      <c r="L7" s="153" t="s">
        <v>33</v>
      </c>
      <c r="M7" s="154"/>
      <c r="N7" s="153" t="s">
        <v>9</v>
      </c>
      <c r="O7" s="154"/>
    </row>
    <row r="8" spans="1:15" ht="18.75">
      <c r="A8" s="157"/>
      <c r="B8" s="8" t="s">
        <v>11</v>
      </c>
      <c r="C8" s="8" t="s">
        <v>12</v>
      </c>
      <c r="D8" s="8" t="s">
        <v>11</v>
      </c>
      <c r="E8" s="8" t="s">
        <v>12</v>
      </c>
      <c r="F8" s="8" t="s">
        <v>11</v>
      </c>
      <c r="G8" s="8" t="s">
        <v>12</v>
      </c>
      <c r="H8" s="8" t="s">
        <v>11</v>
      </c>
      <c r="I8" s="8" t="s">
        <v>12</v>
      </c>
      <c r="J8" s="8" t="s">
        <v>11</v>
      </c>
      <c r="K8" s="8" t="s">
        <v>12</v>
      </c>
      <c r="L8" s="8" t="s">
        <v>11</v>
      </c>
      <c r="M8" s="8" t="s">
        <v>12</v>
      </c>
      <c r="N8" s="8" t="s">
        <v>11</v>
      </c>
      <c r="O8" s="8" t="s">
        <v>12</v>
      </c>
    </row>
    <row r="9" spans="1:15" ht="21" customHeight="1">
      <c r="A9" s="2" t="s">
        <v>13</v>
      </c>
      <c r="B9" s="77">
        <v>546</v>
      </c>
      <c r="C9" s="77">
        <v>6654</v>
      </c>
      <c r="D9" s="77"/>
      <c r="E9" s="77"/>
      <c r="F9" s="77"/>
      <c r="G9" s="77">
        <v>1187</v>
      </c>
      <c r="H9" s="77"/>
      <c r="I9" s="77"/>
      <c r="J9" s="77"/>
      <c r="K9" s="77">
        <v>16981</v>
      </c>
      <c r="L9" s="77"/>
      <c r="M9" s="77"/>
      <c r="N9" s="77"/>
      <c r="O9" s="78">
        <f t="shared" ref="O9:O16" si="0">SUM(C9,G9,K9)</f>
        <v>24822</v>
      </c>
    </row>
    <row r="10" spans="1:15" ht="18.75" customHeight="1">
      <c r="A10" s="3" t="s">
        <v>18</v>
      </c>
      <c r="B10" s="78">
        <v>100</v>
      </c>
      <c r="C10" s="78">
        <v>1146</v>
      </c>
      <c r="D10" s="78"/>
      <c r="E10" s="78"/>
      <c r="F10" s="78"/>
      <c r="G10" s="78">
        <v>400</v>
      </c>
      <c r="H10" s="78"/>
      <c r="I10" s="78"/>
      <c r="J10" s="78"/>
      <c r="K10" s="78">
        <v>6731</v>
      </c>
      <c r="L10" s="78"/>
      <c r="M10" s="78"/>
      <c r="N10" s="78"/>
      <c r="O10" s="78">
        <f t="shared" si="0"/>
        <v>8277</v>
      </c>
    </row>
    <row r="11" spans="1:15" ht="20.25" customHeight="1">
      <c r="A11" s="3" t="s">
        <v>17</v>
      </c>
      <c r="B11" s="78">
        <v>151</v>
      </c>
      <c r="C11" s="78">
        <v>2131</v>
      </c>
      <c r="D11" s="78"/>
      <c r="E11" s="78"/>
      <c r="F11" s="78"/>
      <c r="G11" s="78">
        <v>693</v>
      </c>
      <c r="H11" s="78"/>
      <c r="I11" s="78"/>
      <c r="J11" s="78"/>
      <c r="K11" s="78">
        <v>7723</v>
      </c>
      <c r="L11" s="78"/>
      <c r="M11" s="78"/>
      <c r="N11" s="78"/>
      <c r="O11" s="78">
        <f t="shared" si="0"/>
        <v>10547</v>
      </c>
    </row>
    <row r="12" spans="1:15" ht="20.25" customHeight="1">
      <c r="A12" s="3" t="s">
        <v>15</v>
      </c>
      <c r="B12" s="78">
        <v>156</v>
      </c>
      <c r="C12" s="78">
        <v>1630</v>
      </c>
      <c r="D12" s="78"/>
      <c r="E12" s="78"/>
      <c r="F12" s="78"/>
      <c r="G12" s="78">
        <v>742</v>
      </c>
      <c r="H12" s="78"/>
      <c r="I12" s="78"/>
      <c r="J12" s="78"/>
      <c r="K12" s="78">
        <v>15364</v>
      </c>
      <c r="L12" s="78"/>
      <c r="M12" s="78"/>
      <c r="N12" s="78"/>
      <c r="O12" s="79">
        <f>SUM(C12,G12,K12)</f>
        <v>17736</v>
      </c>
    </row>
    <row r="13" spans="1:15" ht="20.25" customHeight="1">
      <c r="A13" s="3" t="s">
        <v>14</v>
      </c>
      <c r="B13" s="78">
        <v>70</v>
      </c>
      <c r="C13" s="78">
        <v>889</v>
      </c>
      <c r="D13" s="78"/>
      <c r="E13" s="78"/>
      <c r="F13" s="78"/>
      <c r="G13" s="78">
        <v>342</v>
      </c>
      <c r="H13" s="78"/>
      <c r="I13" s="78"/>
      <c r="J13" s="78"/>
      <c r="K13" s="78">
        <v>11063</v>
      </c>
      <c r="L13" s="78"/>
      <c r="M13" s="78"/>
      <c r="N13" s="78"/>
      <c r="O13" s="78">
        <f t="shared" si="0"/>
        <v>12294</v>
      </c>
    </row>
    <row r="14" spans="1:15" ht="21">
      <c r="A14" s="5" t="s">
        <v>16</v>
      </c>
      <c r="B14" s="80">
        <v>207</v>
      </c>
      <c r="C14" s="80">
        <v>1729</v>
      </c>
      <c r="D14" s="80"/>
      <c r="E14" s="80"/>
      <c r="F14" s="80"/>
      <c r="G14" s="80">
        <v>893</v>
      </c>
      <c r="H14" s="80"/>
      <c r="I14" s="80"/>
      <c r="J14" s="80"/>
      <c r="K14" s="80">
        <v>17502</v>
      </c>
      <c r="L14" s="80"/>
      <c r="M14" s="80"/>
      <c r="N14" s="80"/>
      <c r="O14" s="78">
        <f t="shared" si="0"/>
        <v>20124</v>
      </c>
    </row>
    <row r="15" spans="1:15" ht="21">
      <c r="A15" s="5" t="s">
        <v>19</v>
      </c>
      <c r="B15" s="78">
        <v>45</v>
      </c>
      <c r="C15" s="78">
        <v>287</v>
      </c>
      <c r="D15" s="80"/>
      <c r="E15" s="80"/>
      <c r="F15" s="80"/>
      <c r="G15" s="80">
        <v>186</v>
      </c>
      <c r="H15" s="78"/>
      <c r="I15" s="80"/>
      <c r="J15" s="78"/>
      <c r="K15" s="80">
        <v>6161</v>
      </c>
      <c r="L15" s="78"/>
      <c r="M15" s="78"/>
      <c r="N15" s="78"/>
      <c r="O15" s="78">
        <f t="shared" si="0"/>
        <v>6634</v>
      </c>
    </row>
    <row r="16" spans="1:15" ht="21">
      <c r="A16" s="33" t="s">
        <v>56</v>
      </c>
      <c r="B16" s="79">
        <v>0</v>
      </c>
      <c r="C16" s="81">
        <v>0</v>
      </c>
      <c r="D16" s="82"/>
      <c r="E16" s="82"/>
      <c r="F16" s="82"/>
      <c r="G16" s="82">
        <v>968</v>
      </c>
      <c r="H16" s="81"/>
      <c r="I16" s="82"/>
      <c r="J16" s="81"/>
      <c r="K16" s="82">
        <v>2406</v>
      </c>
      <c r="L16" s="81"/>
      <c r="M16" s="81"/>
      <c r="N16" s="79"/>
      <c r="O16" s="81">
        <f t="shared" si="0"/>
        <v>3374</v>
      </c>
    </row>
    <row r="17" spans="1:15" ht="21">
      <c r="A17" s="37" t="s">
        <v>9</v>
      </c>
      <c r="B17" s="83">
        <f>SUM(B9:B16)</f>
        <v>1275</v>
      </c>
      <c r="C17" s="84">
        <f>SUM(C9:C16)</f>
        <v>14466</v>
      </c>
      <c r="D17" s="84"/>
      <c r="E17" s="84"/>
      <c r="F17" s="84"/>
      <c r="G17" s="84">
        <f>SUM(G9:G16)</f>
        <v>5411</v>
      </c>
      <c r="H17" s="84"/>
      <c r="I17" s="84"/>
      <c r="J17" s="84"/>
      <c r="K17" s="84">
        <f>SUM(K9:K16)</f>
        <v>83931</v>
      </c>
      <c r="L17" s="84"/>
      <c r="M17" s="84"/>
      <c r="N17" s="83">
        <f>SUM(N9:N16)</f>
        <v>0</v>
      </c>
      <c r="O17" s="84">
        <f>SUM(C17,G17,K17)</f>
        <v>103808</v>
      </c>
    </row>
    <row r="18" spans="1:15">
      <c r="K18" s="39"/>
    </row>
    <row r="20" spans="1:15" ht="18.75">
      <c r="A20" s="17" t="s">
        <v>49</v>
      </c>
    </row>
  </sheetData>
  <mergeCells count="14">
    <mergeCell ref="A7:A8"/>
    <mergeCell ref="B7:C7"/>
    <mergeCell ref="D7:E7"/>
    <mergeCell ref="F7:G7"/>
    <mergeCell ref="A1:O1"/>
    <mergeCell ref="A2:O2"/>
    <mergeCell ref="A3:O3"/>
    <mergeCell ref="A4:G4"/>
    <mergeCell ref="A5:I5"/>
    <mergeCell ref="K5:O5"/>
    <mergeCell ref="J7:K7"/>
    <mergeCell ref="L7:M7"/>
    <mergeCell ref="N7:O7"/>
    <mergeCell ref="H7:I7"/>
  </mergeCells>
  <pageMargins left="0.7" right="0.7" top="0.75" bottom="0.75" header="0.3" footer="0.3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I23" sqref="I23"/>
    </sheetView>
  </sheetViews>
  <sheetFormatPr defaultRowHeight="14.25"/>
  <cols>
    <col min="1" max="1" width="23.5" customWidth="1"/>
    <col min="2" max="3" width="14" customWidth="1"/>
    <col min="4" max="4" width="9.875" style="135" customWidth="1"/>
    <col min="5" max="5" width="12.875" style="135" customWidth="1"/>
    <col min="6" max="6" width="10.625" style="135" customWidth="1"/>
    <col min="7" max="7" width="12.375" style="135" customWidth="1"/>
    <col min="8" max="8" width="10.75" style="135" customWidth="1"/>
    <col min="9" max="9" width="13.875" style="39" customWidth="1"/>
    <col min="10" max="10" width="6.375" customWidth="1"/>
  </cols>
  <sheetData>
    <row r="1" spans="1:11" s="26" customFormat="1" ht="19.5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</row>
    <row r="2" spans="1:11" s="26" customFormat="1" ht="20.2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3" spans="1:11" s="26" customFormat="1" ht="16.5" customHeight="1">
      <c r="A3" s="158" t="s">
        <v>61</v>
      </c>
      <c r="B3" s="158"/>
      <c r="C3" s="158"/>
      <c r="D3" s="158"/>
      <c r="E3" s="158"/>
      <c r="F3" s="158"/>
      <c r="G3" s="158"/>
      <c r="H3" s="158"/>
      <c r="I3" s="158"/>
    </row>
    <row r="4" spans="1:11" s="39" customFormat="1" ht="16.5" customHeight="1">
      <c r="A4" s="86"/>
      <c r="B4" s="86"/>
      <c r="C4" s="86"/>
      <c r="D4" s="128"/>
      <c r="E4" s="128"/>
      <c r="F4" s="128"/>
      <c r="G4" s="128"/>
      <c r="H4" s="128"/>
      <c r="I4" s="92"/>
    </row>
    <row r="5" spans="1:11" s="39" customFormat="1" ht="19.5" customHeight="1">
      <c r="A5" s="163" t="s">
        <v>51</v>
      </c>
      <c r="B5" s="163"/>
      <c r="C5" s="163"/>
      <c r="D5" s="163"/>
      <c r="E5" s="163"/>
      <c r="F5" s="163"/>
      <c r="G5" s="163"/>
      <c r="H5" s="163"/>
      <c r="I5" s="163"/>
    </row>
    <row r="6" spans="1:11" s="39" customFormat="1" ht="16.5" customHeight="1">
      <c r="A6" s="1"/>
      <c r="B6" s="1"/>
      <c r="C6" s="1"/>
      <c r="D6" s="129"/>
      <c r="E6" s="129"/>
      <c r="F6" s="129"/>
      <c r="G6" s="129"/>
      <c r="H6" s="129"/>
      <c r="I6" s="139"/>
    </row>
    <row r="7" spans="1:11" s="39" customFormat="1" ht="25.5" customHeight="1">
      <c r="A7" s="164" t="s">
        <v>1</v>
      </c>
      <c r="B7" s="114" t="s">
        <v>41</v>
      </c>
      <c r="C7" s="126" t="s">
        <v>36</v>
      </c>
      <c r="D7" s="114" t="s">
        <v>44</v>
      </c>
      <c r="E7" s="126" t="s">
        <v>38</v>
      </c>
      <c r="F7" s="114" t="s">
        <v>44</v>
      </c>
      <c r="G7" s="126" t="s">
        <v>40</v>
      </c>
      <c r="H7" s="166" t="s">
        <v>23</v>
      </c>
      <c r="I7" s="138" t="s">
        <v>47</v>
      </c>
      <c r="J7" s="162" t="s">
        <v>60</v>
      </c>
    </row>
    <row r="8" spans="1:11" s="39" customFormat="1" ht="22.5" customHeight="1">
      <c r="A8" s="165"/>
      <c r="B8" s="115" t="s">
        <v>42</v>
      </c>
      <c r="C8" s="127" t="s">
        <v>37</v>
      </c>
      <c r="D8" s="115" t="s">
        <v>43</v>
      </c>
      <c r="E8" s="127" t="s">
        <v>39</v>
      </c>
      <c r="F8" s="115" t="s">
        <v>45</v>
      </c>
      <c r="G8" s="127" t="s">
        <v>39</v>
      </c>
      <c r="H8" s="167"/>
      <c r="I8" s="15" t="s">
        <v>46</v>
      </c>
      <c r="J8" s="162"/>
    </row>
    <row r="9" spans="1:11" s="87" customFormat="1" ht="24" customHeight="1">
      <c r="A9" s="116" t="s">
        <v>2</v>
      </c>
      <c r="B9" s="117">
        <v>464617.71</v>
      </c>
      <c r="C9" s="117">
        <v>3786593.97</v>
      </c>
      <c r="D9" s="130">
        <v>364</v>
      </c>
      <c r="E9" s="130">
        <v>2362</v>
      </c>
      <c r="F9" s="130">
        <v>257</v>
      </c>
      <c r="G9" s="130">
        <v>2339</v>
      </c>
      <c r="H9" s="130">
        <f>SUM(D9,F9)+113</f>
        <v>734</v>
      </c>
      <c r="I9" s="140">
        <f>SUM(G9,E9)+183+121+130+97+99+113</f>
        <v>5444</v>
      </c>
      <c r="J9" s="162"/>
      <c r="K9" s="88"/>
    </row>
    <row r="10" spans="1:11" s="87" customFormat="1" ht="21">
      <c r="A10" s="118" t="s">
        <v>3</v>
      </c>
      <c r="B10" s="119">
        <v>1875414</v>
      </c>
      <c r="C10" s="119">
        <v>15921323.5</v>
      </c>
      <c r="D10" s="131">
        <v>11</v>
      </c>
      <c r="E10" s="131">
        <v>111</v>
      </c>
      <c r="F10" s="131">
        <v>54</v>
      </c>
      <c r="G10" s="131">
        <v>477</v>
      </c>
      <c r="H10" s="136">
        <f>SUM(D10,F10)</f>
        <v>65</v>
      </c>
      <c r="I10" s="141">
        <f>SUM(G10,E10)</f>
        <v>588</v>
      </c>
      <c r="J10" s="162"/>
    </row>
    <row r="11" spans="1:11" s="87" customFormat="1" ht="21">
      <c r="A11" s="118" t="s">
        <v>4</v>
      </c>
      <c r="B11" s="119">
        <v>246248</v>
      </c>
      <c r="C11" s="119">
        <v>1624697.9</v>
      </c>
      <c r="D11" s="131">
        <v>61</v>
      </c>
      <c r="E11" s="131">
        <v>513</v>
      </c>
      <c r="F11" s="131">
        <v>18</v>
      </c>
      <c r="G11" s="131">
        <v>206</v>
      </c>
      <c r="H11" s="131">
        <f>SUM(D11,F11)</f>
        <v>79</v>
      </c>
      <c r="I11" s="142">
        <f>SUM(G11,E11)</f>
        <v>719</v>
      </c>
      <c r="J11" s="162"/>
    </row>
    <row r="12" spans="1:11" s="87" customFormat="1" ht="21">
      <c r="A12" s="118" t="s">
        <v>5</v>
      </c>
      <c r="B12" s="119">
        <v>1455923.4</v>
      </c>
      <c r="C12" s="119">
        <v>10075102.199999999</v>
      </c>
      <c r="D12" s="131">
        <v>11</v>
      </c>
      <c r="E12" s="131">
        <v>72</v>
      </c>
      <c r="F12" s="131">
        <v>6</v>
      </c>
      <c r="G12" s="131">
        <v>47</v>
      </c>
      <c r="H12" s="137">
        <f>SUM(D12,F12)</f>
        <v>17</v>
      </c>
      <c r="I12" s="142">
        <f>SUM(G12,E12)</f>
        <v>119</v>
      </c>
      <c r="J12" s="162"/>
    </row>
    <row r="13" spans="1:11" s="87" customFormat="1" ht="21">
      <c r="A13" s="118" t="s">
        <v>6</v>
      </c>
      <c r="B13" s="119">
        <v>66400</v>
      </c>
      <c r="C13" s="119">
        <v>566800</v>
      </c>
      <c r="D13" s="131">
        <v>19</v>
      </c>
      <c r="E13" s="131">
        <v>151</v>
      </c>
      <c r="F13" s="131">
        <v>64</v>
      </c>
      <c r="G13" s="131">
        <v>560</v>
      </c>
      <c r="H13" s="137">
        <f>SUM(D13,F13)</f>
        <v>83</v>
      </c>
      <c r="I13" s="143">
        <f>SUM(G13,E13)</f>
        <v>711</v>
      </c>
      <c r="J13" s="162"/>
    </row>
    <row r="14" spans="1:11" s="87" customFormat="1" ht="21">
      <c r="A14" s="118" t="s">
        <v>7</v>
      </c>
      <c r="B14" s="119">
        <v>7647704.2300000004</v>
      </c>
      <c r="C14" s="119">
        <v>58760589.289999999</v>
      </c>
      <c r="D14" s="131"/>
      <c r="E14" s="131"/>
      <c r="F14" s="131"/>
      <c r="G14" s="131"/>
      <c r="H14" s="131">
        <v>205</v>
      </c>
      <c r="I14" s="143">
        <v>2357</v>
      </c>
      <c r="J14" s="162"/>
    </row>
    <row r="15" spans="1:11" s="87" customFormat="1" ht="21">
      <c r="A15" s="120" t="s">
        <v>53</v>
      </c>
      <c r="B15" s="121">
        <v>7378636.1799999997</v>
      </c>
      <c r="C15" s="121">
        <v>57047156.829999998</v>
      </c>
      <c r="D15" s="132"/>
      <c r="E15" s="132"/>
      <c r="F15" s="132"/>
      <c r="G15" s="132"/>
      <c r="H15" s="132">
        <v>215</v>
      </c>
      <c r="I15" s="142">
        <v>1766</v>
      </c>
      <c r="J15" s="162"/>
    </row>
    <row r="16" spans="1:11" s="87" customFormat="1" ht="21">
      <c r="A16" s="120" t="s">
        <v>54</v>
      </c>
      <c r="B16" s="121">
        <v>269068.05</v>
      </c>
      <c r="C16" s="121">
        <v>1713432.46</v>
      </c>
      <c r="D16" s="132"/>
      <c r="E16" s="132"/>
      <c r="F16" s="132"/>
      <c r="G16" s="132"/>
      <c r="H16" s="131">
        <f>75+29</f>
        <v>104</v>
      </c>
      <c r="I16" s="142">
        <v>591</v>
      </c>
      <c r="J16" s="162"/>
    </row>
    <row r="17" spans="1:10" s="87" customFormat="1" ht="21">
      <c r="A17" s="122" t="s">
        <v>8</v>
      </c>
      <c r="B17" s="123">
        <v>1181907</v>
      </c>
      <c r="C17" s="123">
        <v>10075899.050000001</v>
      </c>
      <c r="D17" s="133">
        <v>55</v>
      </c>
      <c r="E17" s="133">
        <v>475</v>
      </c>
      <c r="F17" s="133">
        <v>71</v>
      </c>
      <c r="G17" s="133">
        <v>549</v>
      </c>
      <c r="H17" s="137">
        <f>SUM(D17,F17)</f>
        <v>126</v>
      </c>
      <c r="I17" s="144">
        <f>SUM(G17,E17)</f>
        <v>1024</v>
      </c>
      <c r="J17" s="162"/>
    </row>
    <row r="18" spans="1:10" s="87" customFormat="1" ht="21">
      <c r="A18" s="124" t="s">
        <v>9</v>
      </c>
      <c r="B18" s="125">
        <f>SUM(B9:B14,B17)</f>
        <v>12938214.34</v>
      </c>
      <c r="C18" s="125">
        <f>SUM(C9:C14,C17)</f>
        <v>100811005.91</v>
      </c>
      <c r="D18" s="134">
        <f>SUM(D9:D17)</f>
        <v>521</v>
      </c>
      <c r="E18" s="134">
        <f>SUM(E9:E17)</f>
        <v>3684</v>
      </c>
      <c r="F18" s="134">
        <f>SUM(F9:F17)</f>
        <v>470</v>
      </c>
      <c r="G18" s="134">
        <f>SUM(G9:G17)</f>
        <v>4178</v>
      </c>
      <c r="H18" s="134">
        <f>SUM(H9:H14,H17)</f>
        <v>1309</v>
      </c>
      <c r="I18" s="145">
        <f>SUM(I9:I14,I17)</f>
        <v>10962</v>
      </c>
      <c r="J18" s="162"/>
    </row>
    <row r="19" spans="1:10" s="39" customFormat="1">
      <c r="D19" s="135"/>
      <c r="E19" s="135"/>
      <c r="F19" s="135"/>
      <c r="G19" s="135"/>
      <c r="H19" s="135"/>
    </row>
    <row r="21" spans="1:10" ht="18.75">
      <c r="A21" s="17" t="s">
        <v>49</v>
      </c>
    </row>
  </sheetData>
  <mergeCells count="7">
    <mergeCell ref="J7:J18"/>
    <mergeCell ref="A5:I5"/>
    <mergeCell ref="A1:I1"/>
    <mergeCell ref="A2:I2"/>
    <mergeCell ref="A3:I3"/>
    <mergeCell ref="A7:A8"/>
    <mergeCell ref="H7:H8"/>
  </mergeCells>
  <printOptions horizontalCentere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workbookViewId="0">
      <selection activeCell="S12" sqref="S12"/>
    </sheetView>
  </sheetViews>
  <sheetFormatPr defaultRowHeight="14.25"/>
  <cols>
    <col min="1" max="1" width="27.125" customWidth="1"/>
    <col min="2" max="2" width="5.875" customWidth="1"/>
    <col min="3" max="3" width="11.625" customWidth="1"/>
    <col min="4" max="4" width="5.875" customWidth="1"/>
    <col min="5" max="5" width="11.625" customWidth="1"/>
    <col min="6" max="6" width="5.875" customWidth="1"/>
    <col min="7" max="7" width="11.625" customWidth="1"/>
    <col min="8" max="8" width="6.125" customWidth="1"/>
    <col min="9" max="9" width="11.625" customWidth="1"/>
    <col min="10" max="10" width="6.25" customWidth="1"/>
    <col min="11" max="11" width="11.625" customWidth="1"/>
    <col min="12" max="12" width="6.125" customWidth="1"/>
    <col min="13" max="13" width="11.625" customWidth="1"/>
    <col min="14" max="14" width="6.125" customWidth="1"/>
    <col min="15" max="15" width="11.75" customWidth="1"/>
    <col min="16" max="16" width="6.625" customWidth="1"/>
    <col min="17" max="17" width="11.625" customWidth="1"/>
    <col min="18" max="18" width="5.625" customWidth="1"/>
    <col min="19" max="19" width="11.625" customWidth="1"/>
  </cols>
  <sheetData>
    <row r="1" spans="1:19" ht="21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21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21" customHeight="1">
      <c r="A3" s="158" t="s">
        <v>57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s="42" customFormat="1" ht="18.75">
      <c r="A5" s="174" t="s">
        <v>25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9" s="42" customFormat="1" ht="17.25" customHeight="1"/>
    <row r="7" spans="1:19" s="42" customFormat="1" ht="18.75">
      <c r="A7" s="173" t="s">
        <v>10</v>
      </c>
      <c r="B7" s="171">
        <v>24016</v>
      </c>
      <c r="C7" s="172"/>
      <c r="D7" s="171">
        <v>24047</v>
      </c>
      <c r="E7" s="172"/>
      <c r="F7" s="171">
        <v>24077</v>
      </c>
      <c r="G7" s="172"/>
      <c r="H7" s="171">
        <v>24108</v>
      </c>
      <c r="I7" s="172"/>
      <c r="J7" s="171">
        <v>24139</v>
      </c>
      <c r="K7" s="172"/>
      <c r="L7" s="171">
        <v>24167</v>
      </c>
      <c r="M7" s="172"/>
      <c r="N7" s="171">
        <v>24198</v>
      </c>
      <c r="O7" s="172"/>
      <c r="P7" s="171">
        <v>24228</v>
      </c>
      <c r="Q7" s="172"/>
      <c r="R7" s="171">
        <v>24259</v>
      </c>
      <c r="S7" s="172"/>
    </row>
    <row r="8" spans="1:19" s="42" customFormat="1" ht="18.75">
      <c r="A8" s="169"/>
      <c r="B8" s="43" t="s">
        <v>12</v>
      </c>
      <c r="C8" s="43" t="s">
        <v>24</v>
      </c>
      <c r="D8" s="43" t="s">
        <v>12</v>
      </c>
      <c r="E8" s="43" t="s">
        <v>24</v>
      </c>
      <c r="F8" s="43" t="s">
        <v>12</v>
      </c>
      <c r="G8" s="43" t="s">
        <v>24</v>
      </c>
      <c r="H8" s="43" t="s">
        <v>12</v>
      </c>
      <c r="I8" s="43" t="s">
        <v>24</v>
      </c>
      <c r="J8" s="43" t="s">
        <v>12</v>
      </c>
      <c r="K8" s="43" t="s">
        <v>24</v>
      </c>
      <c r="L8" s="43" t="s">
        <v>12</v>
      </c>
      <c r="M8" s="43" t="s">
        <v>24</v>
      </c>
      <c r="N8" s="43" t="s">
        <v>12</v>
      </c>
      <c r="O8" s="43" t="s">
        <v>24</v>
      </c>
      <c r="P8" s="43" t="s">
        <v>12</v>
      </c>
      <c r="Q8" s="43" t="s">
        <v>24</v>
      </c>
      <c r="R8" s="43" t="s">
        <v>12</v>
      </c>
      <c r="S8" s="43" t="s">
        <v>24</v>
      </c>
    </row>
    <row r="9" spans="1:19" s="17" customFormat="1" ht="19.5" customHeight="1">
      <c r="A9" s="57" t="s">
        <v>21</v>
      </c>
      <c r="B9" s="44">
        <v>22</v>
      </c>
      <c r="C9" s="72">
        <v>140196.25</v>
      </c>
      <c r="D9" s="44">
        <v>23</v>
      </c>
      <c r="E9" s="76">
        <v>132198.70000000001</v>
      </c>
      <c r="F9" s="44">
        <v>32</v>
      </c>
      <c r="G9" s="76">
        <v>222415.8</v>
      </c>
      <c r="H9" s="44">
        <v>30</v>
      </c>
      <c r="I9" s="22">
        <v>178517.95</v>
      </c>
      <c r="J9" s="44">
        <v>27</v>
      </c>
      <c r="K9" s="22">
        <v>147846.29999999999</v>
      </c>
      <c r="L9" s="44">
        <v>19</v>
      </c>
      <c r="M9" s="22">
        <v>93606.1</v>
      </c>
      <c r="N9" s="44">
        <v>21</v>
      </c>
      <c r="O9" s="22">
        <v>120825.85</v>
      </c>
      <c r="P9" s="44">
        <v>19</v>
      </c>
      <c r="Q9" s="22">
        <v>114126.8</v>
      </c>
      <c r="R9" s="44">
        <v>17</v>
      </c>
      <c r="S9" s="22">
        <v>112776.6</v>
      </c>
    </row>
    <row r="10" spans="1:19" s="17" customFormat="1" ht="19.5" customHeight="1">
      <c r="A10" s="57" t="s">
        <v>22</v>
      </c>
      <c r="B10" s="45">
        <v>193</v>
      </c>
      <c r="C10" s="73">
        <v>563029.1</v>
      </c>
      <c r="D10" s="46">
        <v>209</v>
      </c>
      <c r="E10" s="73">
        <v>638069.75</v>
      </c>
      <c r="F10" s="46">
        <v>220</v>
      </c>
      <c r="G10" s="73">
        <v>675038.75</v>
      </c>
      <c r="H10" s="46">
        <v>222</v>
      </c>
      <c r="I10" s="23">
        <v>720445.4</v>
      </c>
      <c r="J10" s="46">
        <v>222</v>
      </c>
      <c r="K10" s="23">
        <v>634115.80000000005</v>
      </c>
      <c r="L10" s="46">
        <v>231</v>
      </c>
      <c r="M10" s="23">
        <v>718000.6</v>
      </c>
      <c r="N10" s="46">
        <v>235</v>
      </c>
      <c r="O10" s="23">
        <v>746632.7</v>
      </c>
      <c r="P10" s="46">
        <v>248</v>
      </c>
      <c r="Q10" s="23">
        <v>811517.35</v>
      </c>
      <c r="R10" s="46">
        <v>281</v>
      </c>
      <c r="S10" s="23">
        <v>890402.4</v>
      </c>
    </row>
    <row r="11" spans="1:19" s="17" customFormat="1" ht="23.25" customHeight="1">
      <c r="A11" s="58" t="s">
        <v>52</v>
      </c>
      <c r="B11" s="47">
        <v>52</v>
      </c>
      <c r="C11" s="74">
        <v>214551.25</v>
      </c>
      <c r="D11" s="47">
        <v>203</v>
      </c>
      <c r="E11" s="74">
        <v>556732.80000000005</v>
      </c>
      <c r="F11" s="47">
        <v>123</v>
      </c>
      <c r="G11" s="74">
        <v>370794.05</v>
      </c>
      <c r="H11" s="47">
        <v>54</v>
      </c>
      <c r="I11" s="24">
        <v>150427.35</v>
      </c>
      <c r="J11" s="47">
        <v>8</v>
      </c>
      <c r="K11" s="24">
        <v>23178.7</v>
      </c>
      <c r="L11" s="47">
        <v>8</v>
      </c>
      <c r="M11" s="24">
        <v>27768.6</v>
      </c>
      <c r="N11" s="47">
        <v>7</v>
      </c>
      <c r="O11" s="24">
        <v>28701.85</v>
      </c>
      <c r="P11" s="47">
        <v>11</v>
      </c>
      <c r="Q11" s="24">
        <v>35995.599999999999</v>
      </c>
      <c r="R11" s="47">
        <v>17</v>
      </c>
      <c r="S11" s="24">
        <v>61228.15</v>
      </c>
    </row>
    <row r="12" spans="1:19" s="17" customFormat="1" ht="23.25" customHeight="1">
      <c r="A12" s="59" t="s">
        <v>9</v>
      </c>
      <c r="B12" s="48">
        <f t="shared" ref="B12:C12" si="0">SUM(B9:B11)</f>
        <v>267</v>
      </c>
      <c r="C12" s="75">
        <f t="shared" si="0"/>
        <v>917776.6</v>
      </c>
      <c r="D12" s="48">
        <f t="shared" ref="D12:I12" si="1">SUM(D9:D11)</f>
        <v>435</v>
      </c>
      <c r="E12" s="75">
        <f t="shared" si="1"/>
        <v>1327001.25</v>
      </c>
      <c r="F12" s="48">
        <f t="shared" si="1"/>
        <v>375</v>
      </c>
      <c r="G12" s="75">
        <f t="shared" si="1"/>
        <v>1268248.6000000001</v>
      </c>
      <c r="H12" s="48">
        <f t="shared" si="1"/>
        <v>306</v>
      </c>
      <c r="I12" s="25">
        <f t="shared" si="1"/>
        <v>1049390.7000000002</v>
      </c>
      <c r="J12" s="48">
        <f t="shared" ref="J12:O12" si="2">SUM(J9:J11)</f>
        <v>257</v>
      </c>
      <c r="K12" s="25">
        <f t="shared" si="2"/>
        <v>805140.8</v>
      </c>
      <c r="L12" s="48">
        <f t="shared" si="2"/>
        <v>258</v>
      </c>
      <c r="M12" s="25">
        <f t="shared" si="2"/>
        <v>839375.29999999993</v>
      </c>
      <c r="N12" s="48">
        <f t="shared" si="2"/>
        <v>263</v>
      </c>
      <c r="O12" s="25">
        <f t="shared" si="2"/>
        <v>896160.39999999991</v>
      </c>
      <c r="P12" s="48">
        <f>SUM(P9:P11)</f>
        <v>278</v>
      </c>
      <c r="Q12" s="25">
        <f>SUM(Q9:Q11)</f>
        <v>961639.75</v>
      </c>
      <c r="R12" s="48">
        <f>SUM(R9:R11)</f>
        <v>315</v>
      </c>
      <c r="S12" s="25">
        <f>SUM(S9:S11)</f>
        <v>1064407.1499999999</v>
      </c>
    </row>
    <row r="13" spans="1:19" s="17" customFormat="1" ht="17.25" customHeight="1">
      <c r="A13" s="168" t="s">
        <v>10</v>
      </c>
      <c r="B13" s="178">
        <v>24289</v>
      </c>
      <c r="C13" s="169"/>
      <c r="D13" s="178">
        <v>24320</v>
      </c>
      <c r="E13" s="169"/>
      <c r="F13" s="178">
        <v>24351</v>
      </c>
      <c r="G13" s="169"/>
      <c r="H13" s="176" t="s">
        <v>50</v>
      </c>
      <c r="I13" s="177"/>
      <c r="J13" s="170"/>
      <c r="K13" s="170"/>
      <c r="L13" s="170"/>
      <c r="M13" s="170"/>
      <c r="N13" s="170"/>
      <c r="O13" s="170"/>
      <c r="P13" s="170"/>
      <c r="Q13" s="170"/>
      <c r="R13" s="175"/>
      <c r="S13" s="175"/>
    </row>
    <row r="14" spans="1:19" s="17" customFormat="1" ht="18.75">
      <c r="A14" s="169"/>
      <c r="B14" s="43" t="s">
        <v>12</v>
      </c>
      <c r="C14" s="43" t="s">
        <v>24</v>
      </c>
      <c r="D14" s="43" t="s">
        <v>12</v>
      </c>
      <c r="E14" s="43" t="s">
        <v>24</v>
      </c>
      <c r="F14" s="43" t="s">
        <v>12</v>
      </c>
      <c r="G14" s="43" t="s">
        <v>24</v>
      </c>
      <c r="H14" s="43" t="s">
        <v>12</v>
      </c>
      <c r="I14" s="43" t="s">
        <v>24</v>
      </c>
      <c r="J14" s="49"/>
      <c r="K14" s="49"/>
      <c r="L14" s="49"/>
      <c r="M14" s="49"/>
      <c r="N14" s="49"/>
      <c r="O14" s="49"/>
      <c r="P14" s="49"/>
      <c r="Q14" s="49"/>
      <c r="R14" s="50"/>
      <c r="S14" s="50"/>
    </row>
    <row r="15" spans="1:19" s="17" customFormat="1" ht="18.75">
      <c r="A15" s="60" t="s">
        <v>21</v>
      </c>
      <c r="B15" s="51"/>
      <c r="C15" s="22"/>
      <c r="D15" s="52"/>
      <c r="E15" s="22"/>
      <c r="F15" s="51"/>
      <c r="G15" s="22"/>
      <c r="H15" s="45">
        <f t="shared" ref="H15:I17" si="3">SUM(B9,D9,F9,H9,J9,L9,N9,P9,R9,B15,D15,F15)</f>
        <v>210</v>
      </c>
      <c r="I15" s="53">
        <f t="shared" si="3"/>
        <v>1262510.3500000001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s="17" customFormat="1" ht="18.75">
      <c r="A16" s="57" t="s">
        <v>22</v>
      </c>
      <c r="B16" s="54"/>
      <c r="C16" s="23"/>
      <c r="D16" s="51"/>
      <c r="E16" s="23"/>
      <c r="F16" s="54"/>
      <c r="G16" s="23"/>
      <c r="H16" s="45">
        <f t="shared" si="3"/>
        <v>2061</v>
      </c>
      <c r="I16" s="53">
        <f t="shared" si="3"/>
        <v>6397251.8499999996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s="17" customFormat="1" ht="18.75">
      <c r="A17" s="58" t="s">
        <v>52</v>
      </c>
      <c r="B17" s="55"/>
      <c r="C17" s="24"/>
      <c r="D17" s="55"/>
      <c r="E17" s="24"/>
      <c r="F17" s="55"/>
      <c r="G17" s="24"/>
      <c r="H17" s="45">
        <f t="shared" si="3"/>
        <v>483</v>
      </c>
      <c r="I17" s="53">
        <f t="shared" si="3"/>
        <v>1469378.3500000003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7" customFormat="1" ht="18.75">
      <c r="A18" s="59" t="s">
        <v>9</v>
      </c>
      <c r="B18" s="56">
        <f t="shared" ref="B18:G18" si="4">SUM(B15:B17)</f>
        <v>0</v>
      </c>
      <c r="C18" s="25">
        <f t="shared" si="4"/>
        <v>0</v>
      </c>
      <c r="D18" s="56">
        <f t="shared" si="4"/>
        <v>0</v>
      </c>
      <c r="E18" s="25">
        <f t="shared" si="4"/>
        <v>0</v>
      </c>
      <c r="F18" s="56">
        <f t="shared" si="4"/>
        <v>0</v>
      </c>
      <c r="G18" s="25">
        <f t="shared" si="4"/>
        <v>0</v>
      </c>
      <c r="H18" s="48">
        <f t="shared" ref="H18:I18" si="5">SUM(H15:H17)</f>
        <v>2754</v>
      </c>
      <c r="I18" s="25">
        <f t="shared" si="5"/>
        <v>9129140.5499999989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>
      <c r="N19" s="14"/>
      <c r="O19" s="14"/>
      <c r="P19" s="14"/>
      <c r="Q19" s="14"/>
    </row>
    <row r="20" spans="1:19">
      <c r="N20" s="14"/>
      <c r="O20" s="14"/>
      <c r="P20" s="14"/>
      <c r="Q20" s="14"/>
    </row>
    <row r="21" spans="1:19" ht="18.75">
      <c r="A21" s="17" t="s">
        <v>49</v>
      </c>
      <c r="N21" s="14"/>
      <c r="O21" s="14"/>
      <c r="P21" s="14"/>
      <c r="Q21" s="14"/>
    </row>
    <row r="22" spans="1:19">
      <c r="N22" s="14"/>
      <c r="O22" s="14"/>
      <c r="P22" s="14"/>
      <c r="Q22" s="14"/>
      <c r="R22" s="14"/>
    </row>
    <row r="23" spans="1:19" ht="15.75">
      <c r="H23" s="61">
        <f>SUM(B12,D12,F12,H12,J12,L12,N12,P12,R12,B18,D18,F18)</f>
        <v>2754</v>
      </c>
      <c r="I23" s="62">
        <f>SUM(C12,E12,G12,I12,K12,M12,O12,Q12,S12,C18,E18,G18)</f>
        <v>9129140.5500000007</v>
      </c>
    </row>
  </sheetData>
  <mergeCells count="24">
    <mergeCell ref="R7:S7"/>
    <mergeCell ref="B7:C7"/>
    <mergeCell ref="H13:I13"/>
    <mergeCell ref="J13:K13"/>
    <mergeCell ref="L13:M13"/>
    <mergeCell ref="B13:C13"/>
    <mergeCell ref="D13:E13"/>
    <mergeCell ref="F13:G13"/>
    <mergeCell ref="A13:A14"/>
    <mergeCell ref="N13:O13"/>
    <mergeCell ref="P13:Q13"/>
    <mergeCell ref="A1:S1"/>
    <mergeCell ref="L7:M7"/>
    <mergeCell ref="N7:O7"/>
    <mergeCell ref="P7:Q7"/>
    <mergeCell ref="A7:A8"/>
    <mergeCell ref="D7:E7"/>
    <mergeCell ref="F7:G7"/>
    <mergeCell ref="A2:S2"/>
    <mergeCell ref="A3:S3"/>
    <mergeCell ref="A5:Q5"/>
    <mergeCell ref="H7:I7"/>
    <mergeCell ref="J7:K7"/>
    <mergeCell ref="R13:S13"/>
  </mergeCells>
  <printOptions horizontalCentered="1"/>
  <pageMargins left="0.25" right="0.25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K32" sqref="K32"/>
    </sheetView>
  </sheetViews>
  <sheetFormatPr defaultRowHeight="14.25"/>
  <cols>
    <col min="1" max="1" width="22.875" customWidth="1"/>
    <col min="2" max="6" width="12.625" customWidth="1"/>
    <col min="7" max="12" width="12.625" style="39" customWidth="1"/>
    <col min="13" max="13" width="12.625" style="26" customWidth="1"/>
    <col min="14" max="14" width="17.375" customWidth="1"/>
  </cols>
  <sheetData>
    <row r="1" spans="1:15" s="26" customFormat="1" ht="2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 s="26" customFormat="1" ht="2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s="26" customFormat="1" ht="21">
      <c r="A3" s="158" t="s">
        <v>58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5" s="26" customFormat="1" ht="24">
      <c r="A4" s="89"/>
      <c r="B4" s="89"/>
      <c r="C4" s="89"/>
      <c r="D4" s="89"/>
      <c r="E4" s="89"/>
      <c r="F4" s="89"/>
      <c r="G4" s="92"/>
      <c r="H4" s="92"/>
      <c r="I4" s="92"/>
      <c r="J4" s="92"/>
      <c r="K4" s="92"/>
      <c r="L4" s="92"/>
      <c r="M4" s="89"/>
      <c r="N4" s="89"/>
    </row>
    <row r="5" spans="1:15" s="26" customFormat="1" ht="21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5" s="26" customFormat="1" ht="17.25">
      <c r="A6" s="1"/>
      <c r="B6" s="27">
        <v>24016</v>
      </c>
      <c r="C6" s="27">
        <v>24047</v>
      </c>
      <c r="D6" s="27">
        <v>24077</v>
      </c>
      <c r="E6" s="27">
        <v>24108</v>
      </c>
      <c r="F6" s="27">
        <v>24139</v>
      </c>
      <c r="G6" s="27">
        <v>24167</v>
      </c>
      <c r="H6" s="27">
        <v>24198</v>
      </c>
      <c r="I6" s="27">
        <v>24228</v>
      </c>
      <c r="J6" s="27">
        <v>24259</v>
      </c>
      <c r="K6" s="27">
        <v>24289</v>
      </c>
      <c r="L6" s="27">
        <v>24320</v>
      </c>
      <c r="M6" s="27">
        <v>24351</v>
      </c>
      <c r="N6" s="1" t="s">
        <v>9</v>
      </c>
    </row>
    <row r="7" spans="1:15" s="26" customFormat="1" ht="21">
      <c r="A7" s="179" t="s">
        <v>1</v>
      </c>
      <c r="B7" s="90" t="s">
        <v>41</v>
      </c>
      <c r="C7" s="93" t="s">
        <v>41</v>
      </c>
      <c r="D7" s="93" t="s">
        <v>41</v>
      </c>
      <c r="E7" s="93" t="s">
        <v>41</v>
      </c>
      <c r="F7" s="93" t="s">
        <v>41</v>
      </c>
      <c r="G7" s="93" t="s">
        <v>41</v>
      </c>
      <c r="H7" s="93" t="s">
        <v>41</v>
      </c>
      <c r="I7" s="93" t="s">
        <v>41</v>
      </c>
      <c r="J7" s="93" t="s">
        <v>41</v>
      </c>
      <c r="K7" s="93" t="s">
        <v>41</v>
      </c>
      <c r="L7" s="93" t="s">
        <v>41</v>
      </c>
      <c r="M7" s="93" t="s">
        <v>41</v>
      </c>
      <c r="N7" s="91" t="s">
        <v>36</v>
      </c>
    </row>
    <row r="8" spans="1:15" s="26" customFormat="1" ht="21">
      <c r="A8" s="180"/>
      <c r="B8" s="94" t="s">
        <v>59</v>
      </c>
      <c r="C8" s="94" t="s">
        <v>59</v>
      </c>
      <c r="D8" s="94" t="s">
        <v>59</v>
      </c>
      <c r="E8" s="94" t="s">
        <v>59</v>
      </c>
      <c r="F8" s="94" t="s">
        <v>59</v>
      </c>
      <c r="G8" s="94" t="s">
        <v>59</v>
      </c>
      <c r="H8" s="94" t="s">
        <v>59</v>
      </c>
      <c r="I8" s="94" t="s">
        <v>59</v>
      </c>
      <c r="J8" s="94" t="s">
        <v>59</v>
      </c>
      <c r="K8" s="94" t="s">
        <v>59</v>
      </c>
      <c r="L8" s="94" t="s">
        <v>59</v>
      </c>
      <c r="M8" s="94" t="s">
        <v>59</v>
      </c>
      <c r="N8" s="16" t="s">
        <v>37</v>
      </c>
    </row>
    <row r="9" spans="1:15" s="26" customFormat="1" ht="21">
      <c r="A9" s="2" t="s">
        <v>2</v>
      </c>
      <c r="B9" s="95">
        <f>15583.5+50511.8+4869+64560+7500+34500</f>
        <v>177524.3</v>
      </c>
      <c r="C9" s="95">
        <f>477522.58+40202+102985.5+13544+14947.5+13900+65920+7500+15500+750</f>
        <v>752771.58000000007</v>
      </c>
      <c r="D9" s="109">
        <v>329470.90000000002</v>
      </c>
      <c r="E9" s="95">
        <f>42499.6+118455.65+6737.75+48080+20000+127250</f>
        <v>363023</v>
      </c>
      <c r="F9" s="95">
        <f>21177.25+700+34156+20000+21040+77840+20000+100670</f>
        <v>295583.25</v>
      </c>
      <c r="G9" s="95">
        <f>13498.5+481+71360.65+10464.5+49520+10000+120070</f>
        <v>275394.65000000002</v>
      </c>
      <c r="H9" s="96">
        <f>86353.25+12780+79192.9+65839.45+13000+50000+78275</f>
        <v>385440.6</v>
      </c>
      <c r="I9" s="96">
        <f>380284.14+29464+90764.3+80157.54+14388+56880+8000+82830</f>
        <v>742767.98</v>
      </c>
      <c r="J9" s="96">
        <f>138226.11+17284+77007.95+20000+51575.65+2784+58080+10000+89660</f>
        <v>464617.71</v>
      </c>
      <c r="K9" s="96"/>
      <c r="L9" s="96"/>
      <c r="M9" s="96"/>
      <c r="N9" s="97">
        <f t="shared" ref="N9:N17" si="0">SUM(B9:M9)</f>
        <v>3786593.97</v>
      </c>
      <c r="O9" s="98"/>
    </row>
    <row r="10" spans="1:15" s="26" customFormat="1" ht="21">
      <c r="A10" s="3" t="s">
        <v>3</v>
      </c>
      <c r="B10" s="99">
        <f>765000+679212+14500+180000+72000+870</f>
        <v>1711582</v>
      </c>
      <c r="C10" s="99">
        <f>1020000+810468+10100+180000+72000+6330</f>
        <v>2098898</v>
      </c>
      <c r="D10" s="110">
        <v>1719212.5</v>
      </c>
      <c r="E10" s="99">
        <f>225000+93600+5900+915000+799560+19200</f>
        <v>2058260</v>
      </c>
      <c r="F10" s="99">
        <f>765000+681097.5+14520+150000+57600+5290</f>
        <v>1673507.5</v>
      </c>
      <c r="G10" s="99">
        <f>765000+673092+21800+270000+108000+7680</f>
        <v>1845572</v>
      </c>
      <c r="H10" s="99">
        <f>660000+555997.5+150000+64800+9995+300</f>
        <v>1441092.5</v>
      </c>
      <c r="I10" s="99">
        <f>660000+532215+15170+195000+93600+1800</f>
        <v>1497785</v>
      </c>
      <c r="J10" s="99">
        <f>825000+813114+19700+150000+64800+2800</f>
        <v>1875414</v>
      </c>
      <c r="K10" s="99"/>
      <c r="L10" s="99"/>
      <c r="M10" s="99"/>
      <c r="N10" s="100">
        <f t="shared" si="0"/>
        <v>15921323.5</v>
      </c>
    </row>
    <row r="11" spans="1:15" s="26" customFormat="1" ht="21">
      <c r="A11" s="3" t="s">
        <v>4</v>
      </c>
      <c r="B11" s="99">
        <f>5488+3000+58947+10500</f>
        <v>77935</v>
      </c>
      <c r="C11" s="99">
        <f>18807.2+2500+100000+90000+53744.5+20500</f>
        <v>285551.7</v>
      </c>
      <c r="D11" s="110">
        <v>273401.7</v>
      </c>
      <c r="E11" s="99">
        <f>6825+9500+12126+4000</f>
        <v>32451</v>
      </c>
      <c r="F11" s="99">
        <f>9039+3000+50000+28800+207398+12000</f>
        <v>310237</v>
      </c>
      <c r="G11" s="99">
        <f>7780+9500+74311+17000</f>
        <v>108591</v>
      </c>
      <c r="H11" s="99">
        <f>17598+2500+70432.5+8500</f>
        <v>99030.5</v>
      </c>
      <c r="I11" s="99">
        <f>23166.5+3500+50000+28800+72785.5+13000</f>
        <v>191252</v>
      </c>
      <c r="J11" s="99">
        <f>50000+63558+7440+9000+50000+28800+16450+21000</f>
        <v>246248</v>
      </c>
      <c r="K11" s="99"/>
      <c r="L11" s="99"/>
      <c r="M11" s="99"/>
      <c r="N11" s="100">
        <f t="shared" si="0"/>
        <v>1624697.9</v>
      </c>
    </row>
    <row r="12" spans="1:15" s="26" customFormat="1" ht="21">
      <c r="A12" s="3" t="s">
        <v>5</v>
      </c>
      <c r="B12" s="99">
        <f>400000+354679.2+400000+124800</f>
        <v>1279479.2</v>
      </c>
      <c r="C12" s="99">
        <f>250000+333828.6+300000+134400</f>
        <v>1018228.6</v>
      </c>
      <c r="D12" s="110">
        <v>1305202.3999999999</v>
      </c>
      <c r="E12" s="99">
        <f>250000+67200+350000+88747</f>
        <v>755947</v>
      </c>
      <c r="F12" s="99">
        <f>500000+337459.8+100000+57600</f>
        <v>995059.8</v>
      </c>
      <c r="G12" s="99">
        <f>150000+142119.6+100000+57600</f>
        <v>449719.6</v>
      </c>
      <c r="H12" s="99">
        <f>450000+351882+300000+172800</f>
        <v>1274682</v>
      </c>
      <c r="I12" s="99">
        <f>500000+675660.2+250000+115200</f>
        <v>1540860.2</v>
      </c>
      <c r="J12" s="99">
        <f>500000+433123.4+350000+172800</f>
        <v>1455923.4</v>
      </c>
      <c r="K12" s="99"/>
      <c r="L12" s="99"/>
      <c r="M12" s="99"/>
      <c r="N12" s="100">
        <f t="shared" si="0"/>
        <v>10075102.199999999</v>
      </c>
    </row>
    <row r="13" spans="1:15" s="26" customFormat="1" ht="21">
      <c r="A13" s="3" t="s">
        <v>6</v>
      </c>
      <c r="B13" s="99">
        <f>49400+10400</f>
        <v>59800</v>
      </c>
      <c r="C13" s="99">
        <f>62000+10400</f>
        <v>72400</v>
      </c>
      <c r="D13" s="110">
        <v>61200</v>
      </c>
      <c r="E13" s="99">
        <f>13600+47800</f>
        <v>61400</v>
      </c>
      <c r="F13" s="99">
        <f>54400+8000</f>
        <v>62400</v>
      </c>
      <c r="G13" s="99">
        <f>51200+12800</f>
        <v>64000</v>
      </c>
      <c r="H13" s="99">
        <f>49600+8800</f>
        <v>58400</v>
      </c>
      <c r="I13" s="99">
        <f>50400+10400</f>
        <v>60800</v>
      </c>
      <c r="J13" s="99">
        <f>50400+16000</f>
        <v>66400</v>
      </c>
      <c r="K13" s="99"/>
      <c r="L13" s="99"/>
      <c r="M13" s="99"/>
      <c r="N13" s="100">
        <f t="shared" si="0"/>
        <v>566800</v>
      </c>
    </row>
    <row r="14" spans="1:15" s="26" customFormat="1" ht="21">
      <c r="A14" s="3" t="s">
        <v>7</v>
      </c>
      <c r="B14" s="99">
        <f t="shared" ref="B14:J14" si="1">SUM(B15:B16)</f>
        <v>5146648.67</v>
      </c>
      <c r="C14" s="99">
        <f t="shared" si="1"/>
        <v>6509685.1799999997</v>
      </c>
      <c r="D14" s="99">
        <f t="shared" si="1"/>
        <v>5741558.4699999997</v>
      </c>
      <c r="E14" s="99">
        <f t="shared" si="1"/>
        <v>4868539.4000000004</v>
      </c>
      <c r="F14" s="99">
        <f t="shared" si="1"/>
        <v>8599056.5299999993</v>
      </c>
      <c r="G14" s="99">
        <f t="shared" si="1"/>
        <v>6099191.5999999996</v>
      </c>
      <c r="H14" s="99">
        <f t="shared" si="1"/>
        <v>7702912.3400000008</v>
      </c>
      <c r="I14" s="99">
        <f t="shared" si="1"/>
        <v>6445292.8700000001</v>
      </c>
      <c r="J14" s="99">
        <f t="shared" si="1"/>
        <v>7647704.2299999995</v>
      </c>
      <c r="K14" s="99"/>
      <c r="L14" s="99"/>
      <c r="M14" s="99"/>
      <c r="N14" s="100">
        <f t="shared" si="0"/>
        <v>58760589.289999999</v>
      </c>
    </row>
    <row r="15" spans="1:15" s="26" customFormat="1" ht="21">
      <c r="A15" s="31" t="s">
        <v>53</v>
      </c>
      <c r="B15" s="101">
        <v>5107513.28</v>
      </c>
      <c r="C15" s="101">
        <v>6263049.79</v>
      </c>
      <c r="D15" s="111">
        <v>5627283.0099999998</v>
      </c>
      <c r="E15" s="101">
        <v>4655387.32</v>
      </c>
      <c r="F15" s="101">
        <v>8259986.8700000001</v>
      </c>
      <c r="G15" s="101">
        <v>5884164.0499999998</v>
      </c>
      <c r="H15" s="101">
        <v>7493019.4400000004</v>
      </c>
      <c r="I15" s="101">
        <v>6378116.8899999997</v>
      </c>
      <c r="J15" s="101">
        <v>7378636.1799999997</v>
      </c>
      <c r="K15" s="101"/>
      <c r="L15" s="101"/>
      <c r="M15" s="101"/>
      <c r="N15" s="100">
        <f t="shared" si="0"/>
        <v>57047156.829999998</v>
      </c>
    </row>
    <row r="16" spans="1:15" s="26" customFormat="1" ht="21">
      <c r="A16" s="31" t="s">
        <v>54</v>
      </c>
      <c r="B16" s="101">
        <f>34172.31+4963.08</f>
        <v>39135.39</v>
      </c>
      <c r="C16" s="101">
        <f>216844.97+29790.42</f>
        <v>246635.39</v>
      </c>
      <c r="D16" s="111">
        <v>114275.46</v>
      </c>
      <c r="E16" s="101">
        <f>188677.02+24475.06</f>
        <v>213152.08</v>
      </c>
      <c r="F16" s="101">
        <f>317720.18+21349.48</f>
        <v>339069.66</v>
      </c>
      <c r="G16" s="101">
        <f>183056.05+31971.5</f>
        <v>215027.55</v>
      </c>
      <c r="H16" s="101">
        <f>46076.59+163816.31</f>
        <v>209892.9</v>
      </c>
      <c r="I16" s="101">
        <f>54052.32+13123.66</f>
        <v>67175.98</v>
      </c>
      <c r="J16" s="101">
        <f>220435.01+48633.04</f>
        <v>269068.05</v>
      </c>
      <c r="K16" s="101"/>
      <c r="L16" s="101"/>
      <c r="M16" s="101"/>
      <c r="N16" s="100">
        <f t="shared" si="0"/>
        <v>1713432.46</v>
      </c>
    </row>
    <row r="17" spans="1:14" s="26" customFormat="1" ht="21">
      <c r="A17" s="33" t="s">
        <v>8</v>
      </c>
      <c r="B17" s="102">
        <v>581611.5</v>
      </c>
      <c r="C17" s="102">
        <v>2335529</v>
      </c>
      <c r="D17" s="112">
        <v>909867</v>
      </c>
      <c r="E17" s="102">
        <v>804442.5</v>
      </c>
      <c r="F17" s="101">
        <v>1079655.45</v>
      </c>
      <c r="G17" s="101">
        <v>1050273</v>
      </c>
      <c r="H17" s="101">
        <v>1118697.6000000001</v>
      </c>
      <c r="I17" s="101">
        <v>1013916</v>
      </c>
      <c r="J17" s="101">
        <v>1181907</v>
      </c>
      <c r="K17" s="101"/>
      <c r="L17" s="101"/>
      <c r="M17" s="101"/>
      <c r="N17" s="100">
        <f t="shared" si="0"/>
        <v>10075899.050000001</v>
      </c>
    </row>
    <row r="18" spans="1:14" s="26" customFormat="1" ht="21">
      <c r="A18" s="35" t="s">
        <v>9</v>
      </c>
      <c r="B18" s="103">
        <f t="shared" ref="B18:M18" si="2">SUM(B9:B14,B17)</f>
        <v>9034580.6699999999</v>
      </c>
      <c r="C18" s="103">
        <f t="shared" si="2"/>
        <v>13073064.060000001</v>
      </c>
      <c r="D18" s="113">
        <f>SUM(D9:D14,D17)</f>
        <v>10339912.969999999</v>
      </c>
      <c r="E18" s="103">
        <f t="shared" si="2"/>
        <v>8944062.9000000004</v>
      </c>
      <c r="F18" s="103">
        <f t="shared" si="2"/>
        <v>13015499.529999997</v>
      </c>
      <c r="G18" s="103">
        <f t="shared" si="2"/>
        <v>9892741.8499999996</v>
      </c>
      <c r="H18" s="103">
        <f t="shared" si="2"/>
        <v>12080255.540000001</v>
      </c>
      <c r="I18" s="103">
        <f t="shared" si="2"/>
        <v>11492674.050000001</v>
      </c>
      <c r="J18" s="104">
        <f t="shared" si="2"/>
        <v>12938214.34</v>
      </c>
      <c r="K18" s="104">
        <f t="shared" si="2"/>
        <v>0</v>
      </c>
      <c r="L18" s="104">
        <f t="shared" si="2"/>
        <v>0</v>
      </c>
      <c r="M18" s="104">
        <f t="shared" si="2"/>
        <v>0</v>
      </c>
      <c r="N18" s="104">
        <f>SUM(N9:N14,N17)</f>
        <v>100811005.91</v>
      </c>
    </row>
    <row r="19" spans="1:14" s="26" customFormat="1">
      <c r="G19" s="39"/>
      <c r="H19" s="39"/>
      <c r="I19" s="39"/>
      <c r="J19" s="39"/>
      <c r="K19" s="39"/>
      <c r="L19" s="39"/>
    </row>
    <row r="20" spans="1:14" s="26" customFormat="1">
      <c r="G20" s="39"/>
      <c r="H20" s="39"/>
      <c r="I20" s="39"/>
      <c r="J20" s="39"/>
      <c r="K20" s="39"/>
      <c r="L20" s="39"/>
    </row>
    <row r="21" spans="1:14" s="26" customFormat="1" ht="18.75">
      <c r="A21" s="17" t="s">
        <v>49</v>
      </c>
      <c r="G21" s="105"/>
      <c r="H21" s="105"/>
      <c r="I21" s="105"/>
      <c r="J21" s="105"/>
      <c r="K21" s="105"/>
      <c r="L21" s="105"/>
      <c r="M21" s="106"/>
      <c r="N21" s="40"/>
    </row>
    <row r="24" spans="1:14" ht="15.75">
      <c r="A24" s="107" t="s">
        <v>9</v>
      </c>
      <c r="B24" s="62">
        <f>2918986+968946</f>
        <v>3887932</v>
      </c>
      <c r="C24" s="62"/>
      <c r="D24" s="62"/>
      <c r="E24" s="62"/>
      <c r="F24" s="62">
        <v>3520205</v>
      </c>
      <c r="I24" s="62">
        <v>3974540.14</v>
      </c>
      <c r="J24" s="148">
        <v>4205760.46</v>
      </c>
      <c r="K24" s="108"/>
      <c r="L24" s="108"/>
      <c r="M24" s="108"/>
    </row>
    <row r="25" spans="1:14" ht="15.75">
      <c r="A25" s="107"/>
      <c r="B25" s="62">
        <v>5107513.28</v>
      </c>
      <c r="C25" s="62"/>
      <c r="D25" s="62"/>
      <c r="E25" s="62"/>
      <c r="F25" s="62">
        <v>795568</v>
      </c>
      <c r="I25" s="62">
        <v>990011.04</v>
      </c>
      <c r="J25" s="148">
        <v>995089.65</v>
      </c>
      <c r="K25" s="108"/>
      <c r="L25" s="108"/>
      <c r="M25" s="108"/>
    </row>
    <row r="26" spans="1:14" ht="15.75">
      <c r="A26" s="107"/>
      <c r="B26" s="62">
        <f>34172.31+4963.08</f>
        <v>39135.39</v>
      </c>
      <c r="C26" s="62"/>
      <c r="D26" s="62"/>
      <c r="E26" s="62"/>
      <c r="F26" s="62">
        <v>8259986.8700000001</v>
      </c>
      <c r="I26" s="62">
        <v>6378116.8899999997</v>
      </c>
      <c r="J26" s="148">
        <v>7378636.1799999997</v>
      </c>
      <c r="K26" s="108"/>
      <c r="L26" s="108"/>
      <c r="M26" s="108"/>
    </row>
    <row r="27" spans="1:14" ht="15.75">
      <c r="A27" s="107"/>
      <c r="B27" s="62"/>
      <c r="C27" s="62"/>
      <c r="D27" s="62"/>
      <c r="E27" s="62"/>
      <c r="F27" s="62">
        <v>317720.18</v>
      </c>
      <c r="I27" s="62">
        <v>54052.32</v>
      </c>
      <c r="J27" s="148">
        <v>220435.01</v>
      </c>
      <c r="K27" s="108"/>
      <c r="L27" s="108"/>
      <c r="M27" s="108"/>
    </row>
    <row r="28" spans="1:14" ht="15.75">
      <c r="A28" s="107"/>
      <c r="B28" s="62">
        <f>SUM(B24:B27)</f>
        <v>9034580.6700000018</v>
      </c>
      <c r="C28" s="62"/>
      <c r="D28" s="62"/>
      <c r="E28" s="62"/>
      <c r="F28" s="62">
        <v>21349.48</v>
      </c>
      <c r="I28" s="62">
        <v>13123.66</v>
      </c>
      <c r="J28" s="148">
        <v>48633.04</v>
      </c>
      <c r="K28" s="108"/>
      <c r="L28" s="108"/>
      <c r="M28" s="108"/>
    </row>
    <row r="29" spans="1:14" ht="15">
      <c r="I29" s="146">
        <v>82830</v>
      </c>
      <c r="J29" s="148">
        <v>89660</v>
      </c>
    </row>
    <row r="30" spans="1:14" ht="15.75">
      <c r="F30" s="62">
        <f>SUM(F24:F29)</f>
        <v>12914829.530000001</v>
      </c>
      <c r="I30" s="108">
        <f>SUM(I24:I29)</f>
        <v>11492674.050000001</v>
      </c>
      <c r="J30" s="148">
        <f>SUM(J24:J29)</f>
        <v>12938214.339999998</v>
      </c>
    </row>
  </sheetData>
  <mergeCells count="5">
    <mergeCell ref="A1:N1"/>
    <mergeCell ref="A2:N2"/>
    <mergeCell ref="A3:N3"/>
    <mergeCell ref="A5:N5"/>
    <mergeCell ref="A7:A8"/>
  </mergeCells>
  <pageMargins left="0.25" right="0.25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H9" sqref="H9"/>
    </sheetView>
  </sheetViews>
  <sheetFormatPr defaultRowHeight="14.25"/>
  <cols>
    <col min="1" max="1" width="23.375" customWidth="1"/>
    <col min="2" max="6" width="12.625" customWidth="1"/>
    <col min="7" max="9" width="12.625" style="26" customWidth="1"/>
    <col min="10" max="13" width="9.875" style="26" customWidth="1"/>
    <col min="14" max="14" width="12.75" style="21" customWidth="1"/>
  </cols>
  <sheetData>
    <row r="1" spans="1:14" s="26" customFormat="1" ht="19.5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26" customFormat="1" ht="20.2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26" customFormat="1" ht="16.5" customHeight="1">
      <c r="A3" s="158" t="s">
        <v>58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26" customFormat="1" ht="16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26" customFormat="1" ht="19.5" customHeight="1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s="26" customFormat="1" ht="16.5" customHeight="1">
      <c r="A6" s="1"/>
      <c r="B6" s="27">
        <v>24016</v>
      </c>
      <c r="C6" s="27">
        <v>24047</v>
      </c>
      <c r="D6" s="27">
        <v>24077</v>
      </c>
      <c r="E6" s="27">
        <v>24108</v>
      </c>
      <c r="F6" s="27">
        <v>24139</v>
      </c>
      <c r="G6" s="27">
        <v>24167</v>
      </c>
      <c r="H6" s="27">
        <v>24198</v>
      </c>
      <c r="I6" s="27">
        <v>24228</v>
      </c>
      <c r="J6" s="27">
        <v>24259</v>
      </c>
      <c r="K6" s="27">
        <v>24289</v>
      </c>
      <c r="L6" s="27">
        <v>24320</v>
      </c>
      <c r="M6" s="27">
        <v>24351</v>
      </c>
      <c r="N6" s="1" t="s">
        <v>9</v>
      </c>
    </row>
    <row r="7" spans="1:14" s="26" customFormat="1" ht="25.5" customHeight="1">
      <c r="A7" s="179" t="s">
        <v>1</v>
      </c>
      <c r="B7" s="70" t="s">
        <v>44</v>
      </c>
      <c r="C7" s="70" t="s">
        <v>44</v>
      </c>
      <c r="D7" s="70" t="s">
        <v>44</v>
      </c>
      <c r="E7" s="70" t="s">
        <v>44</v>
      </c>
      <c r="F7" s="70" t="s">
        <v>44</v>
      </c>
      <c r="G7" s="70" t="s">
        <v>44</v>
      </c>
      <c r="H7" s="70" t="s">
        <v>44</v>
      </c>
      <c r="I7" s="70" t="s">
        <v>44</v>
      </c>
      <c r="J7" s="70" t="s">
        <v>44</v>
      </c>
      <c r="K7" s="70" t="s">
        <v>44</v>
      </c>
      <c r="L7" s="70" t="s">
        <v>44</v>
      </c>
      <c r="M7" s="70" t="s">
        <v>44</v>
      </c>
      <c r="N7" s="71" t="s">
        <v>38</v>
      </c>
    </row>
    <row r="8" spans="1:14" s="26" customFormat="1" ht="22.5" customHeight="1">
      <c r="A8" s="180"/>
      <c r="B8" s="15" t="s">
        <v>43</v>
      </c>
      <c r="C8" s="15" t="s">
        <v>43</v>
      </c>
      <c r="D8" s="15" t="s">
        <v>43</v>
      </c>
      <c r="E8" s="15" t="s">
        <v>43</v>
      </c>
      <c r="F8" s="15" t="s">
        <v>43</v>
      </c>
      <c r="G8" s="15" t="s">
        <v>43</v>
      </c>
      <c r="H8" s="15" t="s">
        <v>43</v>
      </c>
      <c r="I8" s="15" t="s">
        <v>43</v>
      </c>
      <c r="J8" s="15" t="s">
        <v>43</v>
      </c>
      <c r="K8" s="15" t="s">
        <v>43</v>
      </c>
      <c r="L8" s="15" t="s">
        <v>43</v>
      </c>
      <c r="M8" s="15" t="s">
        <v>43</v>
      </c>
      <c r="N8" s="16" t="s">
        <v>39</v>
      </c>
    </row>
    <row r="9" spans="1:14" s="26" customFormat="1" ht="21">
      <c r="A9" s="2" t="s">
        <v>2</v>
      </c>
      <c r="B9" s="28">
        <f>9+6+4+215+1+2</f>
        <v>237</v>
      </c>
      <c r="C9" s="28">
        <f>3+2+190+1+1+1+22+5+62</f>
        <v>287</v>
      </c>
      <c r="D9" s="28">
        <f>7+43+2+8+156+1</f>
        <v>217</v>
      </c>
      <c r="E9" s="28">
        <f>3+177+12+30</f>
        <v>222</v>
      </c>
      <c r="F9" s="28">
        <f>7+14+1+7+318+1</f>
        <v>348</v>
      </c>
      <c r="G9" s="28">
        <f>7+1+14+4+210+1</f>
        <v>237</v>
      </c>
      <c r="H9" s="28">
        <f>18+8+3+128</f>
        <v>157</v>
      </c>
      <c r="I9" s="28">
        <f>35+10+15+4+3+226</f>
        <v>293</v>
      </c>
      <c r="J9" s="28">
        <f>23+7+28+1+8+5+291+1</f>
        <v>364</v>
      </c>
      <c r="K9" s="28"/>
      <c r="L9" s="28"/>
      <c r="M9" s="28"/>
      <c r="N9" s="18">
        <f>SUM(B9:M9)</f>
        <v>2362</v>
      </c>
    </row>
    <row r="10" spans="1:14" s="26" customFormat="1" ht="21">
      <c r="A10" s="3" t="s">
        <v>3</v>
      </c>
      <c r="B10" s="29">
        <f>10+2</f>
        <v>12</v>
      </c>
      <c r="C10" s="29">
        <f>1+15</f>
        <v>16</v>
      </c>
      <c r="D10" s="29">
        <f>10+1</f>
        <v>11</v>
      </c>
      <c r="E10" s="29">
        <f>13+2</f>
        <v>15</v>
      </c>
      <c r="F10" s="29">
        <f>11+1</f>
        <v>12</v>
      </c>
      <c r="G10" s="29">
        <v>12</v>
      </c>
      <c r="H10" s="63">
        <f>10+1</f>
        <v>11</v>
      </c>
      <c r="I10" s="63">
        <f>11</f>
        <v>11</v>
      </c>
      <c r="J10" s="63">
        <f>10+1</f>
        <v>11</v>
      </c>
      <c r="K10" s="63"/>
      <c r="L10" s="63"/>
      <c r="M10" s="63"/>
      <c r="N10" s="64">
        <f>SUM(B10:M10)</f>
        <v>111</v>
      </c>
    </row>
    <row r="11" spans="1:14" s="26" customFormat="1" ht="21">
      <c r="A11" s="3" t="s">
        <v>4</v>
      </c>
      <c r="B11" s="29">
        <f>1+3+13+17</f>
        <v>34</v>
      </c>
      <c r="C11" s="29">
        <f>2+1+15+27+4+2</f>
        <v>51</v>
      </c>
      <c r="D11" s="29">
        <f>4+11+71+21</f>
        <v>107</v>
      </c>
      <c r="E11" s="29">
        <f>4+13+3+5</f>
        <v>25</v>
      </c>
      <c r="F11" s="29">
        <f>2+3+24+18</f>
        <v>47</v>
      </c>
      <c r="G11" s="29">
        <f>3+11+11+25</f>
        <v>50</v>
      </c>
      <c r="H11" s="29">
        <f>21+3+48+12</f>
        <v>84</v>
      </c>
      <c r="I11" s="29">
        <f>5+2+1+28+18</f>
        <v>54</v>
      </c>
      <c r="J11" s="63">
        <f>1+1+2+15+8+34</f>
        <v>61</v>
      </c>
      <c r="K11" s="63"/>
      <c r="L11" s="63"/>
      <c r="M11" s="63"/>
      <c r="N11" s="64">
        <f>SUM(B11:M11)</f>
        <v>513</v>
      </c>
    </row>
    <row r="12" spans="1:14" s="26" customFormat="1" ht="21">
      <c r="A12" s="3" t="s">
        <v>5</v>
      </c>
      <c r="B12" s="29">
        <f>5+4</f>
        <v>9</v>
      </c>
      <c r="C12" s="29">
        <f>2+4</f>
        <v>6</v>
      </c>
      <c r="D12" s="29">
        <f>7+3</f>
        <v>10</v>
      </c>
      <c r="E12" s="29">
        <f>3+7</f>
        <v>10</v>
      </c>
      <c r="F12" s="29">
        <f>8+1</f>
        <v>9</v>
      </c>
      <c r="G12" s="29">
        <f>2+1</f>
        <v>3</v>
      </c>
      <c r="H12" s="29">
        <f>4+2</f>
        <v>6</v>
      </c>
      <c r="I12" s="29">
        <f>5+3</f>
        <v>8</v>
      </c>
      <c r="J12" s="63">
        <f>8+3</f>
        <v>11</v>
      </c>
      <c r="K12" s="63"/>
      <c r="L12" s="63"/>
      <c r="M12" s="63"/>
      <c r="N12" s="64">
        <f>SUM(B12:M12)</f>
        <v>72</v>
      </c>
    </row>
    <row r="13" spans="1:14" s="26" customFormat="1" ht="21">
      <c r="A13" s="3" t="s">
        <v>6</v>
      </c>
      <c r="B13" s="29">
        <f>7+2</f>
        <v>9</v>
      </c>
      <c r="C13" s="29">
        <f>1+19</f>
        <v>20</v>
      </c>
      <c r="D13" s="29">
        <f>13+4</f>
        <v>17</v>
      </c>
      <c r="E13" s="29">
        <f>2+15</f>
        <v>17</v>
      </c>
      <c r="F13" s="29">
        <f>20+1</f>
        <v>21</v>
      </c>
      <c r="G13" s="29">
        <v>14</v>
      </c>
      <c r="H13" s="30">
        <v>17</v>
      </c>
      <c r="I13" s="30">
        <f>17</f>
        <v>17</v>
      </c>
      <c r="J13" s="67">
        <f>15+4</f>
        <v>19</v>
      </c>
      <c r="K13" s="67"/>
      <c r="L13" s="67"/>
      <c r="M13" s="67"/>
      <c r="N13" s="64">
        <f>SUM(B13:M13)</f>
        <v>151</v>
      </c>
    </row>
    <row r="14" spans="1:14" s="26" customFormat="1" ht="21">
      <c r="A14" s="3" t="s">
        <v>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9"/>
    </row>
    <row r="15" spans="1:14" s="26" customFormat="1" ht="21">
      <c r="A15" s="31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5"/>
    </row>
    <row r="16" spans="1:14" s="26" customFormat="1" ht="21">
      <c r="A16" s="31" t="s">
        <v>54</v>
      </c>
      <c r="B16" s="32"/>
      <c r="C16" s="32"/>
      <c r="D16" s="32"/>
      <c r="E16" s="32"/>
      <c r="F16" s="32"/>
      <c r="G16" s="32"/>
      <c r="H16" s="29"/>
      <c r="I16" s="32"/>
      <c r="J16" s="29"/>
      <c r="K16" s="29"/>
      <c r="L16" s="29"/>
      <c r="M16" s="29"/>
      <c r="N16" s="19"/>
    </row>
    <row r="17" spans="1:14" s="26" customFormat="1" ht="21">
      <c r="A17" s="33" t="s">
        <v>8</v>
      </c>
      <c r="B17" s="34">
        <v>22</v>
      </c>
      <c r="C17" s="34">
        <v>134</v>
      </c>
      <c r="D17" s="34">
        <f>30</f>
        <v>30</v>
      </c>
      <c r="E17" s="34">
        <v>35</v>
      </c>
      <c r="F17" s="32">
        <v>50</v>
      </c>
      <c r="G17" s="32">
        <v>41</v>
      </c>
      <c r="H17" s="38">
        <v>56</v>
      </c>
      <c r="I17" s="34">
        <f>52</f>
        <v>52</v>
      </c>
      <c r="J17" s="68">
        <v>55</v>
      </c>
      <c r="K17" s="68"/>
      <c r="L17" s="68"/>
      <c r="M17" s="68"/>
      <c r="N17" s="64">
        <f>SUM(B17:M17)</f>
        <v>475</v>
      </c>
    </row>
    <row r="18" spans="1:14" s="26" customFormat="1" ht="21">
      <c r="A18" s="35" t="s">
        <v>9</v>
      </c>
      <c r="B18" s="36">
        <f t="shared" ref="B18:N18" si="0">SUM(B9:B17)</f>
        <v>323</v>
      </c>
      <c r="C18" s="36">
        <f t="shared" si="0"/>
        <v>514</v>
      </c>
      <c r="D18" s="36">
        <f t="shared" si="0"/>
        <v>392</v>
      </c>
      <c r="E18" s="36">
        <f t="shared" si="0"/>
        <v>324</v>
      </c>
      <c r="F18" s="36">
        <f t="shared" si="0"/>
        <v>487</v>
      </c>
      <c r="G18" s="36">
        <f t="shared" si="0"/>
        <v>357</v>
      </c>
      <c r="H18" s="36">
        <f t="shared" si="0"/>
        <v>331</v>
      </c>
      <c r="I18" s="36">
        <f t="shared" si="0"/>
        <v>435</v>
      </c>
      <c r="J18" s="36">
        <f t="shared" si="0"/>
        <v>521</v>
      </c>
      <c r="K18" s="36">
        <f t="shared" si="0"/>
        <v>0</v>
      </c>
      <c r="L18" s="36">
        <f t="shared" si="0"/>
        <v>0</v>
      </c>
      <c r="M18" s="36">
        <f t="shared" si="0"/>
        <v>0</v>
      </c>
      <c r="N18" s="66">
        <f t="shared" si="0"/>
        <v>3684</v>
      </c>
    </row>
    <row r="19" spans="1:14" s="26" customFormat="1">
      <c r="N19" s="21"/>
    </row>
    <row r="20" spans="1:14" s="26" customFormat="1">
      <c r="N20" s="21"/>
    </row>
    <row r="21" spans="1:14" s="26" customFormat="1" ht="18.75">
      <c r="A21" s="17" t="s">
        <v>49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N21" s="41"/>
    </row>
  </sheetData>
  <mergeCells count="5">
    <mergeCell ref="A1:N1"/>
    <mergeCell ref="A2:N2"/>
    <mergeCell ref="A3:N3"/>
    <mergeCell ref="A5:N5"/>
    <mergeCell ref="A7:A8"/>
  </mergeCells>
  <printOptions horizontalCentered="1"/>
  <pageMargins left="0.25" right="0.25" top="0.75" bottom="0.75" header="0.3" footer="0.3"/>
  <pageSetup paperSize="9"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F9" sqref="F9"/>
    </sheetView>
  </sheetViews>
  <sheetFormatPr defaultRowHeight="14.25"/>
  <cols>
    <col min="1" max="1" width="21.75" customWidth="1"/>
    <col min="2" max="6" width="12.625" customWidth="1"/>
    <col min="7" max="9" width="12.625" style="26" customWidth="1"/>
    <col min="10" max="13" width="9.875" style="26" customWidth="1"/>
    <col min="14" max="14" width="12.75" style="21" customWidth="1"/>
  </cols>
  <sheetData>
    <row r="1" spans="1:14" s="26" customFormat="1" ht="19.5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4" s="26" customFormat="1" ht="20.2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26" customFormat="1" ht="16.5" customHeight="1">
      <c r="A3" s="158" t="s">
        <v>58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s="26" customFormat="1" ht="16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26" customFormat="1" ht="19.5" customHeight="1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1:14" s="26" customFormat="1" ht="16.5" customHeight="1">
      <c r="A6" s="1"/>
      <c r="B6" s="27">
        <v>24016</v>
      </c>
      <c r="C6" s="27">
        <v>24047</v>
      </c>
      <c r="D6" s="27">
        <v>24077</v>
      </c>
      <c r="E6" s="27">
        <v>24108</v>
      </c>
      <c r="F6" s="27">
        <v>24139</v>
      </c>
      <c r="G6" s="27">
        <v>24167</v>
      </c>
      <c r="H6" s="27">
        <v>24198</v>
      </c>
      <c r="I6" s="27">
        <v>24228</v>
      </c>
      <c r="J6" s="27">
        <v>24259</v>
      </c>
      <c r="K6" s="27">
        <v>24289</v>
      </c>
      <c r="L6" s="27">
        <v>24320</v>
      </c>
      <c r="M6" s="27">
        <v>24351</v>
      </c>
      <c r="N6" s="1" t="s">
        <v>9</v>
      </c>
    </row>
    <row r="7" spans="1:14" s="26" customFormat="1" ht="25.5" customHeight="1">
      <c r="A7" s="179" t="s">
        <v>1</v>
      </c>
      <c r="B7" s="70" t="s">
        <v>44</v>
      </c>
      <c r="C7" s="70" t="s">
        <v>44</v>
      </c>
      <c r="D7" s="70" t="s">
        <v>44</v>
      </c>
      <c r="E7" s="70" t="s">
        <v>44</v>
      </c>
      <c r="F7" s="70" t="s">
        <v>44</v>
      </c>
      <c r="G7" s="70" t="s">
        <v>44</v>
      </c>
      <c r="H7" s="70" t="s">
        <v>44</v>
      </c>
      <c r="I7" s="70" t="s">
        <v>44</v>
      </c>
      <c r="J7" s="70" t="s">
        <v>44</v>
      </c>
      <c r="K7" s="70" t="s">
        <v>44</v>
      </c>
      <c r="L7" s="70" t="s">
        <v>44</v>
      </c>
      <c r="M7" s="70" t="s">
        <v>44</v>
      </c>
      <c r="N7" s="71" t="s">
        <v>40</v>
      </c>
    </row>
    <row r="8" spans="1:14" s="26" customFormat="1" ht="22.5" customHeight="1">
      <c r="A8" s="180"/>
      <c r="B8" s="15" t="s">
        <v>45</v>
      </c>
      <c r="C8" s="15" t="s">
        <v>45</v>
      </c>
      <c r="D8" s="15" t="s">
        <v>45</v>
      </c>
      <c r="E8" s="15" t="s">
        <v>45</v>
      </c>
      <c r="F8" s="15" t="s">
        <v>45</v>
      </c>
      <c r="G8" s="15" t="s">
        <v>45</v>
      </c>
      <c r="H8" s="15" t="s">
        <v>45</v>
      </c>
      <c r="I8" s="15" t="s">
        <v>45</v>
      </c>
      <c r="J8" s="15" t="s">
        <v>45</v>
      </c>
      <c r="K8" s="15" t="s">
        <v>45</v>
      </c>
      <c r="L8" s="15" t="s">
        <v>45</v>
      </c>
      <c r="M8" s="15" t="s">
        <v>45</v>
      </c>
      <c r="N8" s="16" t="s">
        <v>39</v>
      </c>
    </row>
    <row r="9" spans="1:14" s="26" customFormat="1" ht="21">
      <c r="A9" s="2" t="s">
        <v>2</v>
      </c>
      <c r="B9" s="28">
        <f>6+27+2+182+1</f>
        <v>218</v>
      </c>
      <c r="C9" s="28">
        <f>3+1+243+1+16+6+21+1</f>
        <v>292</v>
      </c>
      <c r="D9" s="28">
        <f>11+1+67+1+1+5+217+1</f>
        <v>304</v>
      </c>
      <c r="E9" s="28">
        <f>5+179+1+11+69</f>
        <v>265</v>
      </c>
      <c r="F9" s="28">
        <f>8+1+30+4+288</f>
        <v>331</v>
      </c>
      <c r="G9" s="28">
        <f>12+15+1+262</f>
        <v>290</v>
      </c>
      <c r="H9" s="28">
        <f>8+3+11+6+2+117</f>
        <v>147</v>
      </c>
      <c r="I9" s="28">
        <f>20+3+5+6+2+197+2</f>
        <v>235</v>
      </c>
      <c r="J9" s="28">
        <f>27+6+32+12+2+178</f>
        <v>257</v>
      </c>
      <c r="K9" s="28"/>
      <c r="L9" s="28"/>
      <c r="M9" s="28"/>
      <c r="N9" s="18">
        <f>SUM(B9:M9)</f>
        <v>2339</v>
      </c>
    </row>
    <row r="10" spans="1:14" s="26" customFormat="1" ht="21">
      <c r="A10" s="3" t="s">
        <v>3</v>
      </c>
      <c r="B10" s="29">
        <f>41+10</f>
        <v>51</v>
      </c>
      <c r="C10" s="29">
        <f>11+53</f>
        <v>64</v>
      </c>
      <c r="D10" s="29">
        <f>44+8</f>
        <v>52</v>
      </c>
      <c r="E10" s="29">
        <f>13+48</f>
        <v>61</v>
      </c>
      <c r="F10" s="29">
        <f>40+9</f>
        <v>49</v>
      </c>
      <c r="G10" s="29">
        <f>39+18</f>
        <v>57</v>
      </c>
      <c r="H10" s="63">
        <f>34+9</f>
        <v>43</v>
      </c>
      <c r="I10" s="63">
        <f>33+13</f>
        <v>46</v>
      </c>
      <c r="J10" s="63">
        <f>45+9</f>
        <v>54</v>
      </c>
      <c r="K10" s="63"/>
      <c r="L10" s="63"/>
      <c r="M10" s="63"/>
      <c r="N10" s="64">
        <f>SUM(B10:M10)</f>
        <v>477</v>
      </c>
    </row>
    <row r="11" spans="1:14" s="26" customFormat="1" ht="21">
      <c r="A11" s="3" t="s">
        <v>4</v>
      </c>
      <c r="B11" s="29">
        <f>3+3+2+4</f>
        <v>12</v>
      </c>
      <c r="C11" s="29">
        <f>11+14+5+3</f>
        <v>33</v>
      </c>
      <c r="D11" s="29">
        <f>3+6+7+10</f>
        <v>26</v>
      </c>
      <c r="E11" s="29">
        <f>1+6+2+3</f>
        <v>12</v>
      </c>
      <c r="F11" s="29">
        <f>6+3+1+5+6</f>
        <v>21</v>
      </c>
      <c r="G11" s="29">
        <f>3+8+6+9</f>
        <v>26</v>
      </c>
      <c r="H11" s="29">
        <f>4+2+9+5</f>
        <v>20</v>
      </c>
      <c r="I11" s="29">
        <f>10+5+15+8</f>
        <v>38</v>
      </c>
      <c r="J11" s="63">
        <f>2+3+1+1+3+8</f>
        <v>18</v>
      </c>
      <c r="K11" s="63"/>
      <c r="L11" s="63"/>
      <c r="M11" s="63"/>
      <c r="N11" s="64">
        <f>SUM(B11:M11)</f>
        <v>206</v>
      </c>
    </row>
    <row r="12" spans="1:14" s="26" customFormat="1" ht="21">
      <c r="A12" s="3" t="s">
        <v>5</v>
      </c>
      <c r="B12" s="29">
        <f>3+4</f>
        <v>7</v>
      </c>
      <c r="C12" s="29">
        <f>4+1</f>
        <v>5</v>
      </c>
      <c r="D12" s="29">
        <f>4+2</f>
        <v>6</v>
      </c>
      <c r="E12" s="29">
        <f>2</f>
        <v>2</v>
      </c>
      <c r="F12" s="29">
        <f>2+1</f>
        <v>3</v>
      </c>
      <c r="G12" s="29">
        <f>1+1</f>
        <v>2</v>
      </c>
      <c r="H12" s="29">
        <f>5+4</f>
        <v>9</v>
      </c>
      <c r="I12" s="29">
        <f>5+2</f>
        <v>7</v>
      </c>
      <c r="J12" s="63">
        <f>2+4</f>
        <v>6</v>
      </c>
      <c r="K12" s="63"/>
      <c r="L12" s="63"/>
      <c r="M12" s="63"/>
      <c r="N12" s="64">
        <f>SUM(B12:M12)</f>
        <v>47</v>
      </c>
    </row>
    <row r="13" spans="1:14" s="26" customFormat="1" ht="21">
      <c r="A13" s="3" t="s">
        <v>6</v>
      </c>
      <c r="B13" s="29">
        <f>56+11</f>
        <v>67</v>
      </c>
      <c r="C13" s="29">
        <f>12+59</f>
        <v>71</v>
      </c>
      <c r="D13" s="29">
        <f>48+12</f>
        <v>60</v>
      </c>
      <c r="E13" s="29">
        <f>15+45</f>
        <v>60</v>
      </c>
      <c r="F13" s="29">
        <f>48+9</f>
        <v>57</v>
      </c>
      <c r="G13" s="29">
        <f>50+16</f>
        <v>66</v>
      </c>
      <c r="H13" s="30">
        <f>45+11</f>
        <v>56</v>
      </c>
      <c r="I13" s="30">
        <f>46+13</f>
        <v>59</v>
      </c>
      <c r="J13" s="67">
        <f>48+16</f>
        <v>64</v>
      </c>
      <c r="K13" s="67"/>
      <c r="L13" s="67"/>
      <c r="M13" s="67"/>
      <c r="N13" s="64">
        <f>SUM(B13:M13)</f>
        <v>560</v>
      </c>
    </row>
    <row r="14" spans="1:14" s="26" customFormat="1" ht="21">
      <c r="A14" s="3" t="s">
        <v>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9"/>
    </row>
    <row r="15" spans="1:14" s="26" customFormat="1" ht="21">
      <c r="A15" s="31" t="s">
        <v>53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5"/>
    </row>
    <row r="16" spans="1:14" s="26" customFormat="1" ht="21">
      <c r="A16" s="31" t="s">
        <v>54</v>
      </c>
      <c r="B16" s="32"/>
      <c r="C16" s="32"/>
      <c r="D16" s="32"/>
      <c r="E16" s="32"/>
      <c r="F16" s="32"/>
      <c r="G16" s="32"/>
      <c r="H16" s="29"/>
      <c r="I16" s="32"/>
      <c r="J16" s="29"/>
      <c r="K16" s="29"/>
      <c r="L16" s="29"/>
      <c r="M16" s="29"/>
      <c r="N16" s="19"/>
    </row>
    <row r="17" spans="1:14" s="26" customFormat="1" ht="21">
      <c r="A17" s="33" t="s">
        <v>8</v>
      </c>
      <c r="B17" s="34">
        <v>36</v>
      </c>
      <c r="C17" s="34">
        <v>133</v>
      </c>
      <c r="D17" s="34">
        <v>53</v>
      </c>
      <c r="E17" s="34">
        <v>42</v>
      </c>
      <c r="F17" s="32">
        <v>58</v>
      </c>
      <c r="G17" s="32">
        <v>46</v>
      </c>
      <c r="H17" s="38">
        <v>61</v>
      </c>
      <c r="I17" s="34">
        <v>49</v>
      </c>
      <c r="J17" s="68">
        <v>71</v>
      </c>
      <c r="K17" s="68"/>
      <c r="L17" s="68"/>
      <c r="M17" s="68"/>
      <c r="N17" s="64">
        <f>SUM(B17:M17)</f>
        <v>549</v>
      </c>
    </row>
    <row r="18" spans="1:14" s="26" customFormat="1" ht="21">
      <c r="A18" s="35" t="s">
        <v>9</v>
      </c>
      <c r="B18" s="36">
        <f t="shared" ref="B18:N18" si="0">SUM(B9:B17)</f>
        <v>391</v>
      </c>
      <c r="C18" s="36">
        <f t="shared" si="0"/>
        <v>598</v>
      </c>
      <c r="D18" s="36">
        <f t="shared" si="0"/>
        <v>501</v>
      </c>
      <c r="E18" s="36">
        <f t="shared" si="0"/>
        <v>442</v>
      </c>
      <c r="F18" s="36">
        <f t="shared" si="0"/>
        <v>519</v>
      </c>
      <c r="G18" s="36">
        <f t="shared" si="0"/>
        <v>487</v>
      </c>
      <c r="H18" s="36">
        <f t="shared" si="0"/>
        <v>336</v>
      </c>
      <c r="I18" s="36">
        <f t="shared" si="0"/>
        <v>434</v>
      </c>
      <c r="J18" s="36">
        <f t="shared" si="0"/>
        <v>470</v>
      </c>
      <c r="K18" s="36">
        <f t="shared" si="0"/>
        <v>0</v>
      </c>
      <c r="L18" s="36">
        <f t="shared" si="0"/>
        <v>0</v>
      </c>
      <c r="M18" s="36">
        <f t="shared" si="0"/>
        <v>0</v>
      </c>
      <c r="N18" s="66">
        <f t="shared" si="0"/>
        <v>4178</v>
      </c>
    </row>
    <row r="19" spans="1:14" s="26" customFormat="1">
      <c r="N19" s="21"/>
    </row>
    <row r="20" spans="1:14" s="26" customFormat="1">
      <c r="N20" s="21"/>
    </row>
    <row r="21" spans="1:14" s="26" customFormat="1" ht="18.75">
      <c r="A21" s="17" t="s">
        <v>49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N21" s="41"/>
    </row>
  </sheetData>
  <mergeCells count="5">
    <mergeCell ref="A1:N1"/>
    <mergeCell ref="A2:N2"/>
    <mergeCell ref="A3:N3"/>
    <mergeCell ref="A5:N5"/>
    <mergeCell ref="A7:A8"/>
  </mergeCells>
  <printOptions horizontalCentered="1"/>
  <pageMargins left="0.25" right="0.25" top="0.75" bottom="0.75" header="0.3" footer="0.3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J9" sqref="J9"/>
    </sheetView>
  </sheetViews>
  <sheetFormatPr defaultRowHeight="18.75"/>
  <cols>
    <col min="1" max="1" width="23.625" customWidth="1"/>
    <col min="2" max="6" width="12.625" customWidth="1"/>
    <col min="7" max="9" width="12.625" style="26" customWidth="1"/>
    <col min="10" max="13" width="9.875" style="26" customWidth="1"/>
    <col min="14" max="14" width="12.75" style="21" customWidth="1"/>
    <col min="15" max="15" width="9" style="150"/>
    <col min="16" max="16" width="9" style="149"/>
    <col min="17" max="17" width="9" style="17"/>
  </cols>
  <sheetData>
    <row r="1" spans="1:17" s="26" customFormat="1" ht="19.5" customHeight="1">
      <c r="A1" s="158" t="s">
        <v>48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0"/>
      <c r="P1" s="149"/>
      <c r="Q1" s="17"/>
    </row>
    <row r="2" spans="1:17" s="26" customFormat="1" ht="20.2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0"/>
      <c r="P2" s="149"/>
      <c r="Q2" s="17"/>
    </row>
    <row r="3" spans="1:17" s="26" customFormat="1" ht="16.5" customHeight="1">
      <c r="A3" s="158" t="s">
        <v>58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0"/>
      <c r="P3" s="149"/>
      <c r="Q3" s="17"/>
    </row>
    <row r="4" spans="1:17" s="26" customFormat="1" ht="16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50"/>
      <c r="P4" s="149"/>
      <c r="Q4" s="17"/>
    </row>
    <row r="5" spans="1:17" s="26" customFormat="1" ht="19.5" customHeight="1">
      <c r="A5" s="163" t="s">
        <v>51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50"/>
      <c r="P5" s="149"/>
      <c r="Q5" s="17"/>
    </row>
    <row r="6" spans="1:17" s="26" customFormat="1" ht="16.5" customHeight="1">
      <c r="A6" s="1"/>
      <c r="B6" s="27">
        <v>24016</v>
      </c>
      <c r="C6" s="27">
        <v>24047</v>
      </c>
      <c r="D6" s="27">
        <v>24077</v>
      </c>
      <c r="E6" s="27">
        <v>24108</v>
      </c>
      <c r="F6" s="27">
        <v>24139</v>
      </c>
      <c r="G6" s="27">
        <v>24167</v>
      </c>
      <c r="H6" s="27">
        <v>24198</v>
      </c>
      <c r="I6" s="27">
        <v>24228</v>
      </c>
      <c r="J6" s="27">
        <v>24259</v>
      </c>
      <c r="K6" s="27">
        <v>24289</v>
      </c>
      <c r="L6" s="27">
        <v>24320</v>
      </c>
      <c r="M6" s="27">
        <v>24351</v>
      </c>
      <c r="N6" s="1" t="s">
        <v>9</v>
      </c>
      <c r="O6" s="150"/>
      <c r="P6" s="149" t="s">
        <v>62</v>
      </c>
      <c r="Q6" s="17"/>
    </row>
    <row r="7" spans="1:17" s="26" customFormat="1" ht="25.5" customHeight="1">
      <c r="A7" s="179" t="s">
        <v>1</v>
      </c>
      <c r="B7" s="70" t="s">
        <v>44</v>
      </c>
      <c r="C7" s="70" t="s">
        <v>44</v>
      </c>
      <c r="D7" s="70" t="s">
        <v>44</v>
      </c>
      <c r="E7" s="70" t="s">
        <v>44</v>
      </c>
      <c r="F7" s="70" t="s">
        <v>44</v>
      </c>
      <c r="G7" s="70" t="s">
        <v>44</v>
      </c>
      <c r="H7" s="70" t="s">
        <v>44</v>
      </c>
      <c r="I7" s="70" t="s">
        <v>44</v>
      </c>
      <c r="J7" s="70" t="s">
        <v>44</v>
      </c>
      <c r="K7" s="70" t="s">
        <v>44</v>
      </c>
      <c r="L7" s="70" t="s">
        <v>44</v>
      </c>
      <c r="M7" s="70" t="s">
        <v>44</v>
      </c>
      <c r="N7" s="71" t="s">
        <v>44</v>
      </c>
      <c r="O7" s="150"/>
      <c r="P7" s="149"/>
      <c r="Q7" s="17"/>
    </row>
    <row r="8" spans="1:17" s="26" customFormat="1" ht="22.5" customHeight="1">
      <c r="A8" s="180"/>
      <c r="B8" s="15" t="s">
        <v>55</v>
      </c>
      <c r="C8" s="15" t="s">
        <v>55</v>
      </c>
      <c r="D8" s="15" t="s">
        <v>55</v>
      </c>
      <c r="E8" s="15" t="s">
        <v>55</v>
      </c>
      <c r="F8" s="15" t="s">
        <v>55</v>
      </c>
      <c r="G8" s="15" t="s">
        <v>55</v>
      </c>
      <c r="H8" s="15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 t="s">
        <v>55</v>
      </c>
      <c r="N8" s="16" t="s">
        <v>39</v>
      </c>
      <c r="O8" s="151" t="s">
        <v>65</v>
      </c>
      <c r="P8" s="152">
        <v>183</v>
      </c>
      <c r="Q8" s="17"/>
    </row>
    <row r="9" spans="1:17" s="26" customFormat="1" ht="21">
      <c r="A9" s="2" t="s">
        <v>2</v>
      </c>
      <c r="B9" s="28">
        <f>15+33+6+397+1+3</f>
        <v>455</v>
      </c>
      <c r="C9" s="28">
        <f>38+11+83+1+6+3+433+2+1+1</f>
        <v>579</v>
      </c>
      <c r="D9" s="28">
        <f>18+1+110+1+3+13+373+1+1</f>
        <v>521</v>
      </c>
      <c r="E9" s="28">
        <f>8+356+23+99+1+183</f>
        <v>670</v>
      </c>
      <c r="F9" s="28">
        <f>15+1+44+1+11+606+1+121</f>
        <v>800</v>
      </c>
      <c r="G9" s="28">
        <f>19+1+29+5+472+1+130</f>
        <v>657</v>
      </c>
      <c r="H9" s="28">
        <f>26+3+19+9+2+245+97</f>
        <v>401</v>
      </c>
      <c r="I9" s="28">
        <f>55+13+20+10+5+423+2+99</f>
        <v>627</v>
      </c>
      <c r="J9" s="28">
        <f>50+13+60+1+20+7+469+1+113</f>
        <v>734</v>
      </c>
      <c r="K9" s="28"/>
      <c r="L9" s="28"/>
      <c r="M9" s="28"/>
      <c r="N9" s="18">
        <f t="shared" ref="N9:N17" si="0">SUM(B9:M9)</f>
        <v>5444</v>
      </c>
      <c r="O9" s="150" t="s">
        <v>63</v>
      </c>
      <c r="P9" s="149">
        <v>121</v>
      </c>
      <c r="Q9" s="17"/>
    </row>
    <row r="10" spans="1:17" s="26" customFormat="1" ht="21">
      <c r="A10" s="3" t="s">
        <v>3</v>
      </c>
      <c r="B10" s="29">
        <f>51+12</f>
        <v>63</v>
      </c>
      <c r="C10" s="29">
        <f>68+12</f>
        <v>80</v>
      </c>
      <c r="D10" s="29">
        <f>54+9</f>
        <v>63</v>
      </c>
      <c r="E10" s="29">
        <f>15+61</f>
        <v>76</v>
      </c>
      <c r="F10" s="29">
        <f>51+10</f>
        <v>61</v>
      </c>
      <c r="G10" s="29">
        <f>51+18</f>
        <v>69</v>
      </c>
      <c r="H10" s="63">
        <f>44+10</f>
        <v>54</v>
      </c>
      <c r="I10" s="63">
        <f>44+13</f>
        <v>57</v>
      </c>
      <c r="J10" s="63">
        <f>55+10</f>
        <v>65</v>
      </c>
      <c r="K10" s="63"/>
      <c r="L10" s="63"/>
      <c r="M10" s="63"/>
      <c r="N10" s="64">
        <f t="shared" si="0"/>
        <v>588</v>
      </c>
      <c r="O10" s="150" t="s">
        <v>64</v>
      </c>
      <c r="P10" s="149">
        <v>130</v>
      </c>
      <c r="Q10" s="17"/>
    </row>
    <row r="11" spans="1:17" s="26" customFormat="1" ht="21">
      <c r="A11" s="3" t="s">
        <v>4</v>
      </c>
      <c r="B11" s="29">
        <f>4+6+15+21</f>
        <v>46</v>
      </c>
      <c r="C11" s="29">
        <f>9+5+2+1+26+41</f>
        <v>84</v>
      </c>
      <c r="D11" s="29">
        <f>7+17+78+31</f>
        <v>133</v>
      </c>
      <c r="E11" s="29">
        <f>5+19+5+8</f>
        <v>37</v>
      </c>
      <c r="F11" s="29">
        <f>8+6+1+29+24</f>
        <v>68</v>
      </c>
      <c r="G11" s="29">
        <f>6+19+17+34</f>
        <v>76</v>
      </c>
      <c r="H11" s="29">
        <f>25+5+57+17</f>
        <v>104</v>
      </c>
      <c r="I11" s="29">
        <f>15+7+1+43+26</f>
        <v>92</v>
      </c>
      <c r="J11" s="63">
        <f>1+1+4+18+1+1+11+42</f>
        <v>79</v>
      </c>
      <c r="K11" s="63"/>
      <c r="L11" s="63"/>
      <c r="M11" s="63"/>
      <c r="N11" s="64">
        <f t="shared" si="0"/>
        <v>719</v>
      </c>
      <c r="O11" s="150" t="s">
        <v>66</v>
      </c>
      <c r="P11" s="149">
        <v>97</v>
      </c>
      <c r="Q11" s="17"/>
    </row>
    <row r="12" spans="1:17" s="26" customFormat="1" ht="21">
      <c r="A12" s="3" t="s">
        <v>5</v>
      </c>
      <c r="B12" s="29">
        <f>8+8</f>
        <v>16</v>
      </c>
      <c r="C12" s="29">
        <f>5+6</f>
        <v>11</v>
      </c>
      <c r="D12" s="29">
        <f>11+5</f>
        <v>16</v>
      </c>
      <c r="E12" s="29">
        <f>5+7</f>
        <v>12</v>
      </c>
      <c r="F12" s="29">
        <f>10+2</f>
        <v>12</v>
      </c>
      <c r="G12" s="29">
        <f>3+2</f>
        <v>5</v>
      </c>
      <c r="H12" s="29">
        <f>9+6</f>
        <v>15</v>
      </c>
      <c r="I12" s="29">
        <f>10+5</f>
        <v>15</v>
      </c>
      <c r="J12" s="63">
        <f>10+7</f>
        <v>17</v>
      </c>
      <c r="K12" s="63"/>
      <c r="L12" s="63"/>
      <c r="M12" s="63"/>
      <c r="N12" s="64">
        <f t="shared" si="0"/>
        <v>119</v>
      </c>
      <c r="O12" s="150" t="s">
        <v>67</v>
      </c>
      <c r="P12" s="149">
        <v>99</v>
      </c>
      <c r="Q12" s="17"/>
    </row>
    <row r="13" spans="1:17" s="26" customFormat="1" ht="21">
      <c r="A13" s="3" t="s">
        <v>6</v>
      </c>
      <c r="B13" s="29">
        <f>63+13</f>
        <v>76</v>
      </c>
      <c r="C13" s="29">
        <f>78+13</f>
        <v>91</v>
      </c>
      <c r="D13" s="29">
        <f>61+16</f>
        <v>77</v>
      </c>
      <c r="E13" s="29">
        <f>17+60</f>
        <v>77</v>
      </c>
      <c r="F13" s="29">
        <f>68+10</f>
        <v>78</v>
      </c>
      <c r="G13" s="29">
        <f>64+16</f>
        <v>80</v>
      </c>
      <c r="H13" s="30">
        <f>62+11</f>
        <v>73</v>
      </c>
      <c r="I13" s="30">
        <f>63+13</f>
        <v>76</v>
      </c>
      <c r="J13" s="67">
        <f>63+20</f>
        <v>83</v>
      </c>
      <c r="K13" s="67"/>
      <c r="L13" s="67"/>
      <c r="M13" s="67"/>
      <c r="N13" s="64">
        <f t="shared" si="0"/>
        <v>711</v>
      </c>
      <c r="O13" s="150" t="s">
        <v>68</v>
      </c>
      <c r="P13" s="149">
        <v>113</v>
      </c>
      <c r="Q13" s="17"/>
    </row>
    <row r="14" spans="1:17" s="26" customFormat="1" ht="21">
      <c r="A14" s="3" t="s">
        <v>7</v>
      </c>
      <c r="B14" s="29">
        <f t="shared" ref="B14:M14" si="1">SUM(B15:B16)</f>
        <v>170</v>
      </c>
      <c r="C14" s="29">
        <f t="shared" si="1"/>
        <v>252</v>
      </c>
      <c r="D14" s="29">
        <f t="shared" si="1"/>
        <v>248</v>
      </c>
      <c r="E14" s="29">
        <f t="shared" si="1"/>
        <v>257</v>
      </c>
      <c r="F14" s="29">
        <f t="shared" si="1"/>
        <v>344</v>
      </c>
      <c r="G14" s="29">
        <f t="shared" si="1"/>
        <v>240</v>
      </c>
      <c r="H14" s="29">
        <f t="shared" si="1"/>
        <v>322</v>
      </c>
      <c r="I14" s="29">
        <f t="shared" si="1"/>
        <v>205</v>
      </c>
      <c r="J14" s="29">
        <f t="shared" si="1"/>
        <v>319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19">
        <f t="shared" si="0"/>
        <v>2357</v>
      </c>
      <c r="O14" s="150" t="s">
        <v>69</v>
      </c>
      <c r="P14" s="149"/>
      <c r="Q14" s="17"/>
    </row>
    <row r="15" spans="1:17" s="26" customFormat="1" ht="21">
      <c r="A15" s="31" t="s">
        <v>53</v>
      </c>
      <c r="B15" s="32">
        <v>151</v>
      </c>
      <c r="C15" s="32">
        <v>163</v>
      </c>
      <c r="D15" s="32">
        <v>210</v>
      </c>
      <c r="E15" s="32">
        <v>188</v>
      </c>
      <c r="F15" s="32">
        <v>254</v>
      </c>
      <c r="G15" s="32">
        <v>165</v>
      </c>
      <c r="H15" s="32">
        <v>244</v>
      </c>
      <c r="I15" s="32">
        <v>176</v>
      </c>
      <c r="J15" s="32">
        <v>215</v>
      </c>
      <c r="K15" s="32"/>
      <c r="L15" s="32"/>
      <c r="M15" s="32"/>
      <c r="N15" s="19">
        <f t="shared" si="0"/>
        <v>1766</v>
      </c>
      <c r="O15" s="150" t="s">
        <v>70</v>
      </c>
      <c r="P15" s="149"/>
      <c r="Q15" s="17"/>
    </row>
    <row r="16" spans="1:17" s="26" customFormat="1" ht="21">
      <c r="A16" s="31" t="s">
        <v>54</v>
      </c>
      <c r="B16" s="32">
        <f>14+5</f>
        <v>19</v>
      </c>
      <c r="C16" s="32">
        <f>71+18</f>
        <v>89</v>
      </c>
      <c r="D16" s="32">
        <f>26+12</f>
        <v>38</v>
      </c>
      <c r="E16" s="32">
        <f>54+15</f>
        <v>69</v>
      </c>
      <c r="F16" s="32">
        <f>76+14</f>
        <v>90</v>
      </c>
      <c r="G16" s="32">
        <f>54+21</f>
        <v>75</v>
      </c>
      <c r="H16" s="29">
        <f>51+27</f>
        <v>78</v>
      </c>
      <c r="I16" s="32">
        <f>20+9</f>
        <v>29</v>
      </c>
      <c r="J16" s="29">
        <f>75+29</f>
        <v>104</v>
      </c>
      <c r="K16" s="29"/>
      <c r="L16" s="29"/>
      <c r="M16" s="29"/>
      <c r="N16" s="19">
        <f t="shared" si="0"/>
        <v>591</v>
      </c>
      <c r="O16" s="150" t="s">
        <v>71</v>
      </c>
      <c r="P16" s="149"/>
      <c r="Q16" s="17"/>
    </row>
    <row r="17" spans="1:17" s="26" customFormat="1" ht="21">
      <c r="A17" s="33" t="s">
        <v>8</v>
      </c>
      <c r="B17" s="34">
        <v>58</v>
      </c>
      <c r="C17" s="34">
        <v>267</v>
      </c>
      <c r="D17" s="34">
        <v>83</v>
      </c>
      <c r="E17" s="34">
        <v>77</v>
      </c>
      <c r="F17" s="32">
        <v>108</v>
      </c>
      <c r="G17" s="32">
        <v>87</v>
      </c>
      <c r="H17" s="38">
        <v>117</v>
      </c>
      <c r="I17" s="34">
        <v>101</v>
      </c>
      <c r="J17" s="68">
        <v>126</v>
      </c>
      <c r="K17" s="68"/>
      <c r="L17" s="68"/>
      <c r="M17" s="68"/>
      <c r="N17" s="64">
        <f t="shared" si="0"/>
        <v>1024</v>
      </c>
      <c r="O17" s="150" t="s">
        <v>72</v>
      </c>
      <c r="P17" s="149"/>
      <c r="Q17" s="17"/>
    </row>
    <row r="18" spans="1:17" s="26" customFormat="1" ht="21">
      <c r="A18" s="35" t="s">
        <v>9</v>
      </c>
      <c r="B18" s="36">
        <f t="shared" ref="B18:N18" si="2">SUM(B9:B14,B17)</f>
        <v>884</v>
      </c>
      <c r="C18" s="36">
        <f t="shared" si="2"/>
        <v>1364</v>
      </c>
      <c r="D18" s="36">
        <f t="shared" si="2"/>
        <v>1141</v>
      </c>
      <c r="E18" s="36">
        <f t="shared" si="2"/>
        <v>1206</v>
      </c>
      <c r="F18" s="36">
        <f t="shared" si="2"/>
        <v>1471</v>
      </c>
      <c r="G18" s="36">
        <f t="shared" si="2"/>
        <v>1214</v>
      </c>
      <c r="H18" s="36">
        <f t="shared" si="2"/>
        <v>1086</v>
      </c>
      <c r="I18" s="36">
        <f t="shared" si="2"/>
        <v>1173</v>
      </c>
      <c r="J18" s="36">
        <f t="shared" si="2"/>
        <v>1423</v>
      </c>
      <c r="K18" s="36">
        <f t="shared" si="2"/>
        <v>0</v>
      </c>
      <c r="L18" s="36">
        <f t="shared" si="2"/>
        <v>0</v>
      </c>
      <c r="M18" s="36">
        <f t="shared" si="2"/>
        <v>0</v>
      </c>
      <c r="N18" s="66">
        <f t="shared" si="2"/>
        <v>10962</v>
      </c>
      <c r="O18" s="150" t="s">
        <v>73</v>
      </c>
      <c r="P18" s="149"/>
      <c r="Q18" s="17"/>
    </row>
    <row r="19" spans="1:17" s="26" customFormat="1">
      <c r="N19" s="21"/>
      <c r="O19" s="150" t="s">
        <v>74</v>
      </c>
      <c r="P19" s="149"/>
      <c r="Q19" s="17"/>
    </row>
    <row r="20" spans="1:17" s="26" customFormat="1">
      <c r="N20" s="21"/>
      <c r="O20" s="150"/>
      <c r="P20" s="149"/>
      <c r="Q20" s="17"/>
    </row>
    <row r="21" spans="1:17" s="26" customFormat="1">
      <c r="A21" s="17" t="s">
        <v>49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85"/>
      <c r="N21" s="41"/>
      <c r="O21" s="150"/>
      <c r="P21" s="149">
        <f>SUM(P8:P20)</f>
        <v>743</v>
      </c>
      <c r="Q21" s="17"/>
    </row>
    <row r="22" spans="1:17">
      <c r="L22" s="85"/>
    </row>
    <row r="23" spans="1:17">
      <c r="J23" s="147">
        <f>SUM('การขอรับสิทธิประโยชน์ (หญิง)'!J18)+'การขอรับสิทธิประโยชน์ (ชาย)'!J18</f>
        <v>991</v>
      </c>
      <c r="L23" s="85"/>
    </row>
    <row r="24" spans="1:17">
      <c r="L24" s="85"/>
    </row>
  </sheetData>
  <mergeCells count="5">
    <mergeCell ref="A1:N1"/>
    <mergeCell ref="A2:N2"/>
    <mergeCell ref="A3:N3"/>
    <mergeCell ref="A5:N5"/>
    <mergeCell ref="A7:A8"/>
  </mergeCells>
  <printOptions horizontalCentered="1"/>
  <pageMargins left="0.25" right="0.25" top="0.75" bottom="0.75" header="0.3" footer="0.3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จำนวนผู้ประกันตน</vt:lpstr>
      <vt:lpstr>จำนวนผู้ประกันตนตามพื้นที่</vt:lpstr>
      <vt:lpstr>การขอรับสิทธิประโยชน์</vt:lpstr>
      <vt:lpstr>การขอรับสิทธิประโยชน์มาตรา 33</vt:lpstr>
      <vt:lpstr>การขอรับสิทธิประโยชน์ (เงิน)</vt:lpstr>
      <vt:lpstr>การขอรับสิทธิประโยชน์ (ชาย)</vt:lpstr>
      <vt:lpstr>การขอรับสิทธิประโยชน์ (หญิง)</vt:lpstr>
      <vt:lpstr>การขอรับสิทธิประโยชน์ (รวม)</vt:lpstr>
      <vt:lpstr>Sheet1</vt:lpstr>
      <vt:lpstr>การขอรับสิทธิประโยชน์!Print_Area</vt:lpstr>
      <vt:lpstr>'การขอรับสิทธิประโยชน์ (เงิน)'!Print_Area</vt:lpstr>
      <vt:lpstr>'การขอรับสิทธิประโยชน์ (ชาย)'!Print_Area</vt:lpstr>
      <vt:lpstr>'การขอรับสิทธิประโยชน์ (รวม)'!Print_Area</vt:lpstr>
      <vt:lpstr>'การขอรับสิทธิประโยชน์ (หญิง)'!Print_Area</vt:lpstr>
      <vt:lpstr>'การขอรับสิทธิประโยชน์มาตรา 33'!Print_Area</vt:lpstr>
      <vt:lpstr>จำนวนผู้ประกันตน!Print_Area</vt:lpstr>
      <vt:lpstr>จำนวนผู้ประกันตนตามพื้นที่!Print_Area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2023-07-17T08:30:22Z</cp:lastPrinted>
  <dcterms:created xsi:type="dcterms:W3CDTF">2020-05-21T08:14:30Z</dcterms:created>
  <dcterms:modified xsi:type="dcterms:W3CDTF">2023-09-06T04:58:47Z</dcterms:modified>
</cp:coreProperties>
</file>